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 activeTab="3"/>
  </bookViews>
  <sheets>
    <sheet name="1ère J Alissas 14 09 2024 M3" sheetId="7" r:id="rId1"/>
    <sheet name="Déroulé" sheetId="8" r:id="rId2"/>
    <sheet name="Liste Equipes_Tirage" sheetId="6" r:id="rId3"/>
    <sheet name="1A_G" sheetId="1" r:id="rId4"/>
    <sheet name="1A_F" sheetId="2" r:id="rId5"/>
    <sheet name="1A_Cl" sheetId="3" r:id="rId6"/>
    <sheet name="1A_C." sheetId="4" state="hidden" r:id="rId7"/>
  </sheets>
  <externalReferences>
    <externalReference r:id="rId8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6">'1A_C.'!$A$1:$O$15</definedName>
    <definedName name="_xlnm.Print_Area" localSheetId="5">'1A_Cl'!$A$1:$AJ$33</definedName>
    <definedName name="_xlnm.Print_Area" localSheetId="4">'1A_F'!$A$1:$N$15</definedName>
    <definedName name="_xlnm.Print_Area" localSheetId="3">'1A_G'!$A$1:$P$29</definedName>
    <definedName name="_xlnm.Print_Area" localSheetId="0">'1ère J Alissas 14 09 2024 M3'!$A$1:$M$44</definedName>
  </definedNames>
  <calcPr calcId="145621"/>
</workbook>
</file>

<file path=xl/calcChain.xml><?xml version="1.0" encoding="utf-8"?>
<calcChain xmlns="http://schemas.openxmlformats.org/spreadsheetml/2006/main">
  <c r="O23" i="1" l="1"/>
  <c r="Y23" i="1" s="1"/>
  <c r="E29" i="1"/>
  <c r="E24" i="1"/>
  <c r="E25" i="1"/>
  <c r="E26" i="1"/>
  <c r="E27" i="1"/>
  <c r="E28" i="1"/>
  <c r="E30" i="1"/>
  <c r="O30" i="1" s="1"/>
  <c r="Y30" i="1" s="1"/>
  <c r="AM19" i="1"/>
  <c r="AM20" i="1"/>
  <c r="AM21" i="1"/>
  <c r="AM22" i="1"/>
  <c r="AM23" i="1"/>
  <c r="AM25" i="1"/>
  <c r="AM26" i="1"/>
  <c r="AM27" i="1"/>
  <c r="AM28" i="1"/>
  <c r="AM29" i="1"/>
  <c r="AM30" i="1"/>
  <c r="AM18" i="1"/>
  <c r="P19" i="3"/>
  <c r="P20" i="3"/>
  <c r="P21" i="3"/>
  <c r="P22" i="3"/>
  <c r="P24" i="3"/>
  <c r="P25" i="3"/>
  <c r="P26" i="3"/>
  <c r="P27" i="3"/>
  <c r="P28" i="3"/>
  <c r="P29" i="3"/>
  <c r="P18" i="3"/>
  <c r="P17" i="3"/>
  <c r="M16" i="3"/>
  <c r="L16" i="3"/>
  <c r="E29" i="3" l="1"/>
  <c r="E22" i="3"/>
  <c r="D29" i="3"/>
  <c r="D22" i="3"/>
  <c r="C29" i="3"/>
  <c r="C22" i="3"/>
  <c r="B29" i="3"/>
  <c r="B26" i="3"/>
  <c r="G22" i="1"/>
  <c r="C21" i="3" s="1"/>
  <c r="B25" i="3"/>
  <c r="B27" i="3"/>
  <c r="B28" i="3"/>
  <c r="B24" i="3"/>
  <c r="E19" i="1"/>
  <c r="E20" i="1"/>
  <c r="Y21" i="1" s="1"/>
  <c r="E21" i="1"/>
  <c r="B20" i="3" s="1"/>
  <c r="E22" i="1"/>
  <c r="E18" i="1"/>
  <c r="E7" i="1"/>
  <c r="E14" i="1"/>
  <c r="O25" i="1" l="1"/>
  <c r="B19" i="3"/>
  <c r="J41" i="4"/>
  <c r="E41" i="4"/>
  <c r="J40" i="4"/>
  <c r="E40" i="4"/>
  <c r="E39" i="4"/>
  <c r="O38" i="4"/>
  <c r="E38" i="4"/>
  <c r="O37" i="4"/>
  <c r="E37" i="4"/>
  <c r="E36" i="4"/>
  <c r="J35" i="4"/>
  <c r="E35" i="4"/>
  <c r="J34" i="4"/>
  <c r="J44" i="4" l="1"/>
  <c r="J45" i="4"/>
  <c r="E47" i="4"/>
  <c r="E46" i="4"/>
  <c r="O45" i="4"/>
  <c r="O44" i="4"/>
  <c r="E49" i="4"/>
  <c r="E48" i="4"/>
  <c r="E51" i="4"/>
  <c r="E50" i="4"/>
  <c r="J47" i="4"/>
  <c r="J46" i="4"/>
  <c r="E34" i="4"/>
  <c r="E45" i="4" s="1"/>
  <c r="E44" i="4" l="1"/>
  <c r="O14" i="4"/>
  <c r="E14" i="4"/>
  <c r="O13" i="4"/>
  <c r="E13" i="4"/>
  <c r="O12" i="4"/>
  <c r="E12" i="4"/>
  <c r="O11" i="4"/>
  <c r="E11" i="4"/>
  <c r="O10" i="4"/>
  <c r="E10" i="4"/>
  <c r="O9" i="4"/>
  <c r="E9" i="4"/>
  <c r="O8" i="4"/>
  <c r="E8" i="4"/>
  <c r="O7" i="4"/>
  <c r="E7" i="4"/>
  <c r="L2" i="4"/>
  <c r="B2" i="4"/>
  <c r="L1" i="4"/>
  <c r="O16" i="4" l="1"/>
  <c r="E16" i="4"/>
  <c r="I18" i="4"/>
  <c r="E18" i="4"/>
  <c r="E20" i="4"/>
  <c r="I20" i="4"/>
  <c r="I19" i="4"/>
  <c r="E23" i="4"/>
  <c r="E22" i="4"/>
  <c r="I25" i="4"/>
  <c r="I22" i="4"/>
  <c r="E24" i="4"/>
  <c r="I24" i="4"/>
  <c r="I23" i="4"/>
  <c r="E19" i="4"/>
  <c r="B22" i="3"/>
  <c r="B21" i="3"/>
  <c r="B18" i="3"/>
  <c r="B17" i="3"/>
  <c r="C14" i="3" l="1"/>
  <c r="C12" i="3"/>
  <c r="C9" i="3"/>
  <c r="C8" i="3"/>
  <c r="C7" i="3"/>
  <c r="C2" i="3"/>
  <c r="E14" i="3" l="1"/>
  <c r="E9" i="3" l="1"/>
  <c r="K2" i="2"/>
  <c r="A2" i="2"/>
  <c r="K1" i="2"/>
  <c r="L28" i="4" l="1"/>
  <c r="AY30" i="1"/>
  <c r="AG30" i="1" l="1"/>
  <c r="AD30" i="1"/>
  <c r="AC30" i="1"/>
  <c r="AB30" i="1"/>
  <c r="T30" i="1"/>
  <c r="S30" i="1"/>
  <c r="R30" i="1"/>
  <c r="J30" i="1"/>
  <c r="I30" i="1"/>
  <c r="H30" i="1"/>
  <c r="AY29" i="1"/>
  <c r="AG29" i="1" l="1"/>
  <c r="AD29" i="1"/>
  <c r="AC29" i="1"/>
  <c r="AB29" i="1"/>
  <c r="AA29" i="1"/>
  <c r="T29" i="1"/>
  <c r="S29" i="1"/>
  <c r="R29" i="1"/>
  <c r="Q29" i="1"/>
  <c r="J29" i="1"/>
  <c r="I29" i="1"/>
  <c r="H29" i="1"/>
  <c r="G29" i="1"/>
  <c r="C28" i="3" s="1"/>
  <c r="BA28" i="1"/>
  <c r="AY28" i="1"/>
  <c r="AG28" i="1"/>
  <c r="AD28" i="1"/>
  <c r="AC28" i="1"/>
  <c r="AB28" i="1"/>
  <c r="AA28" i="1"/>
  <c r="E26" i="3" s="1"/>
  <c r="Y28" i="1"/>
  <c r="T28" i="1"/>
  <c r="S28" i="1"/>
  <c r="R28" i="1"/>
  <c r="Q28" i="1"/>
  <c r="D27" i="3" s="1"/>
  <c r="O28" i="1"/>
  <c r="J28" i="1"/>
  <c r="I28" i="1"/>
  <c r="H28" i="1"/>
  <c r="G28" i="1"/>
  <c r="C27" i="3" s="1"/>
  <c r="BA27" i="1" a="1"/>
  <c r="AY27" i="1"/>
  <c r="AG27" i="1"/>
  <c r="AD27" i="1"/>
  <c r="AC27" i="1"/>
  <c r="AB27" i="1"/>
  <c r="AA27" i="1"/>
  <c r="E25" i="3" s="1"/>
  <c r="Y27" i="1"/>
  <c r="T27" i="1"/>
  <c r="S27" i="1"/>
  <c r="R27" i="1"/>
  <c r="Q27" i="1"/>
  <c r="D24" i="3" s="1"/>
  <c r="O27" i="1"/>
  <c r="J27" i="1"/>
  <c r="I27" i="1"/>
  <c r="H27" i="1"/>
  <c r="G27" i="1"/>
  <c r="C26" i="3" s="1"/>
  <c r="BA26" i="1" a="1"/>
  <c r="AG26" i="1"/>
  <c r="AD26" i="1"/>
  <c r="AC26" i="1"/>
  <c r="AB26" i="1"/>
  <c r="AA26" i="1"/>
  <c r="E28" i="3" s="1"/>
  <c r="Y26" i="1"/>
  <c r="T26" i="1"/>
  <c r="S26" i="1"/>
  <c r="R26" i="1"/>
  <c r="Q26" i="1"/>
  <c r="D25" i="3" s="1"/>
  <c r="O26" i="1"/>
  <c r="J26" i="1"/>
  <c r="I26" i="1"/>
  <c r="H26" i="1"/>
  <c r="G26" i="1"/>
  <c r="C25" i="3" s="1"/>
  <c r="BA25" i="1" a="1"/>
  <c r="AY25" i="1"/>
  <c r="F25" i="3" l="1"/>
  <c r="O29" i="1"/>
  <c r="D26" i="3"/>
  <c r="F26" i="3" s="1"/>
  <c r="Y29" i="1"/>
  <c r="E27" i="3"/>
  <c r="AE27" i="1"/>
  <c r="AE28" i="1"/>
  <c r="U26" i="1"/>
  <c r="K27" i="1"/>
  <c r="K28" i="1"/>
  <c r="AE26" i="1"/>
  <c r="K26" i="1"/>
  <c r="U27" i="1"/>
  <c r="U28" i="1"/>
  <c r="BB25" i="1" a="1"/>
  <c r="BA25" i="1"/>
  <c r="BC27" i="1" a="1"/>
  <c r="BC27" i="1" s="1"/>
  <c r="AG25" i="1"/>
  <c r="AD25" i="1"/>
  <c r="AD31" i="1" s="1"/>
  <c r="AC25" i="1"/>
  <c r="AB25" i="1"/>
  <c r="AB31" i="1" s="1"/>
  <c r="AA25" i="1"/>
  <c r="Y25" i="1"/>
  <c r="T25" i="1"/>
  <c r="T31" i="1" s="1"/>
  <c r="S25" i="1"/>
  <c r="R25" i="1"/>
  <c r="R31" i="1" s="1"/>
  <c r="Q25" i="1"/>
  <c r="AJ29" i="1" l="1"/>
  <c r="H28" i="3" s="1"/>
  <c r="AI27" i="1"/>
  <c r="G26" i="3" s="1"/>
  <c r="AH29" i="1"/>
  <c r="D28" i="3"/>
  <c r="AE25" i="1"/>
  <c r="E24" i="3"/>
  <c r="AA31" i="1"/>
  <c r="AC31" i="1"/>
  <c r="Q31" i="1"/>
  <c r="S31" i="1"/>
  <c r="AI26" i="1"/>
  <c r="G25" i="3" s="1"/>
  <c r="AI29" i="1"/>
  <c r="G28" i="3" s="1"/>
  <c r="AH28" i="1"/>
  <c r="AJ28" i="1"/>
  <c r="H27" i="3" s="1"/>
  <c r="AH27" i="1"/>
  <c r="AJ27" i="1"/>
  <c r="H26" i="3" s="1"/>
  <c r="AJ30" i="1"/>
  <c r="H29" i="3" s="1"/>
  <c r="U25" i="1"/>
  <c r="AI30" i="1"/>
  <c r="G29" i="3" s="1"/>
  <c r="AH26" i="1"/>
  <c r="AJ26" i="1"/>
  <c r="H25" i="3" s="1"/>
  <c r="AH30" i="1"/>
  <c r="AI28" i="1"/>
  <c r="G27" i="3" s="1"/>
  <c r="BC29" i="1" a="1"/>
  <c r="BC25" i="1" a="1"/>
  <c r="BB29" i="1" a="1"/>
  <c r="J25" i="1"/>
  <c r="J31" i="1" s="1"/>
  <c r="I25" i="1"/>
  <c r="I31" i="1" s="1"/>
  <c r="H25" i="1"/>
  <c r="AI25" i="1" s="1"/>
  <c r="G24" i="3" s="1"/>
  <c r="G25" i="1"/>
  <c r="AY23" i="1"/>
  <c r="AG23" i="1"/>
  <c r="AD23" i="1"/>
  <c r="AC23" i="1"/>
  <c r="AB23" i="1"/>
  <c r="T23" i="1"/>
  <c r="S23" i="1"/>
  <c r="R23" i="1"/>
  <c r="J23" i="1"/>
  <c r="I23" i="1"/>
  <c r="H23" i="1"/>
  <c r="AY22" i="1"/>
  <c r="AG22" i="1"/>
  <c r="AD22" i="1"/>
  <c r="AC22" i="1"/>
  <c r="AB22" i="1"/>
  <c r="AA22" i="1"/>
  <c r="T22" i="1"/>
  <c r="S22" i="1"/>
  <c r="R22" i="1"/>
  <c r="Q22" i="1"/>
  <c r="D19" i="3" s="1"/>
  <c r="J22" i="1"/>
  <c r="I22" i="1"/>
  <c r="H22" i="1"/>
  <c r="BA21" i="1"/>
  <c r="AY21" i="1"/>
  <c r="AG21" i="1"/>
  <c r="AD21" i="1"/>
  <c r="AC21" i="1"/>
  <c r="AB21" i="1"/>
  <c r="AA21" i="1"/>
  <c r="E19" i="3" s="1"/>
  <c r="T21" i="1"/>
  <c r="S21" i="1"/>
  <c r="R21" i="1"/>
  <c r="Q21" i="1"/>
  <c r="O21" i="1"/>
  <c r="J21" i="1"/>
  <c r="I21" i="1"/>
  <c r="H21" i="1"/>
  <c r="G21" i="1"/>
  <c r="C20" i="3" s="1"/>
  <c r="BA20" i="1" a="1"/>
  <c r="AY20" i="1"/>
  <c r="AG20" i="1"/>
  <c r="AD20" i="1"/>
  <c r="AC20" i="1"/>
  <c r="AB20" i="1"/>
  <c r="AA20" i="1"/>
  <c r="E18" i="3" s="1"/>
  <c r="Y20" i="1"/>
  <c r="T20" i="1"/>
  <c r="S20" i="1"/>
  <c r="R20" i="1"/>
  <c r="Q20" i="1"/>
  <c r="D17" i="3" s="1"/>
  <c r="O20" i="1"/>
  <c r="J20" i="1"/>
  <c r="I20" i="1"/>
  <c r="H20" i="1"/>
  <c r="G20" i="1"/>
  <c r="C19" i="3" s="1"/>
  <c r="BA19" i="1" a="1"/>
  <c r="I26" i="3" l="1"/>
  <c r="F19" i="3"/>
  <c r="Y22" i="1"/>
  <c r="E20" i="3"/>
  <c r="U21" i="1"/>
  <c r="D20" i="3"/>
  <c r="I25" i="3"/>
  <c r="H31" i="1"/>
  <c r="C24" i="3"/>
  <c r="G31" i="1"/>
  <c r="K25" i="1"/>
  <c r="AE20" i="1"/>
  <c r="AE21" i="1"/>
  <c r="U20" i="1"/>
  <c r="K20" i="1"/>
  <c r="K21" i="1"/>
  <c r="AH25" i="1"/>
  <c r="AJ25" i="1"/>
  <c r="H24" i="3" s="1"/>
  <c r="O22" i="1"/>
  <c r="BB29" i="1"/>
  <c r="BC29" i="1"/>
  <c r="BB25" i="1"/>
  <c r="BC25" i="1"/>
  <c r="AK30" i="1"/>
  <c r="AK29" i="1"/>
  <c r="BC20" i="1" a="1"/>
  <c r="BA19" i="1"/>
  <c r="AG19" i="1"/>
  <c r="AD19" i="1"/>
  <c r="AC19" i="1"/>
  <c r="AB19" i="1"/>
  <c r="AA19" i="1"/>
  <c r="E21" i="3" s="1"/>
  <c r="Y19" i="1"/>
  <c r="T19" i="1"/>
  <c r="S19" i="1"/>
  <c r="R19" i="1"/>
  <c r="Q19" i="1"/>
  <c r="D18" i="3" s="1"/>
  <c r="O19" i="1"/>
  <c r="J19" i="1"/>
  <c r="I19" i="1"/>
  <c r="H19" i="1"/>
  <c r="G19" i="1"/>
  <c r="C18" i="3" s="1"/>
  <c r="BB18" i="1" a="1"/>
  <c r="BA18" i="1" a="1"/>
  <c r="AY18" i="1"/>
  <c r="AG18" i="1"/>
  <c r="AD18" i="1"/>
  <c r="AC18" i="1"/>
  <c r="AB18" i="1"/>
  <c r="AA18" i="1"/>
  <c r="E17" i="3" s="1"/>
  <c r="Y18" i="1"/>
  <c r="T18" i="1"/>
  <c r="S18" i="1"/>
  <c r="R18" i="1"/>
  <c r="Q18" i="1"/>
  <c r="O18" i="1"/>
  <c r="J18" i="1"/>
  <c r="I18" i="1"/>
  <c r="H18" i="1"/>
  <c r="G18" i="1"/>
  <c r="K18" i="1" s="1"/>
  <c r="F20" i="3" l="1"/>
  <c r="AH31" i="1"/>
  <c r="U18" i="1"/>
  <c r="D21" i="3"/>
  <c r="H24" i="1"/>
  <c r="J24" i="1"/>
  <c r="S24" i="1"/>
  <c r="BC22" i="1" a="1"/>
  <c r="BC22" i="1" s="1"/>
  <c r="AB24" i="1"/>
  <c r="AD24" i="1"/>
  <c r="K19" i="1"/>
  <c r="I24" i="1"/>
  <c r="AJ22" i="1"/>
  <c r="H21" i="3" s="1"/>
  <c r="R24" i="1"/>
  <c r="T24" i="1"/>
  <c r="AA24" i="1"/>
  <c r="AC24" i="1"/>
  <c r="AE19" i="1"/>
  <c r="AI19" i="1"/>
  <c r="G18" i="3" s="1"/>
  <c r="AJ19" i="1"/>
  <c r="H18" i="3" s="1"/>
  <c r="AH19" i="1"/>
  <c r="AE18" i="1"/>
  <c r="Q24" i="1"/>
  <c r="AJ21" i="1"/>
  <c r="H20" i="3" s="1"/>
  <c r="AI23" i="1"/>
  <c r="G22" i="3" s="1"/>
  <c r="AH22" i="1"/>
  <c r="C17" i="3"/>
  <c r="G24" i="1"/>
  <c r="AI18" i="1"/>
  <c r="G17" i="3" s="1"/>
  <c r="AJ18" i="1"/>
  <c r="H17" i="3" s="1"/>
  <c r="AH18" i="1"/>
  <c r="BB22" i="1" a="1"/>
  <c r="BB22" i="1" s="1"/>
  <c r="U19" i="1"/>
  <c r="AH20" i="1"/>
  <c r="AJ23" i="1"/>
  <c r="H22" i="3" s="1"/>
  <c r="AI20" i="1"/>
  <c r="G19" i="3" s="1"/>
  <c r="AI21" i="1"/>
  <c r="AH21" i="1"/>
  <c r="AJ20" i="1"/>
  <c r="H19" i="3" s="1"/>
  <c r="AH23" i="1"/>
  <c r="AI22" i="1"/>
  <c r="AZ25" i="1"/>
  <c r="AK27" i="1"/>
  <c r="BC20" i="1"/>
  <c r="AJ31" i="1"/>
  <c r="AI31" i="1"/>
  <c r="AK25" i="1"/>
  <c r="AK26" i="1"/>
  <c r="AK28" i="1"/>
  <c r="BC18" i="1" a="1"/>
  <c r="BB18" i="1" s="1"/>
  <c r="BA18" i="1"/>
  <c r="AY14" i="1"/>
  <c r="AN26" i="1" l="1"/>
  <c r="AN25" i="1"/>
  <c r="AN27" i="1"/>
  <c r="AN30" i="1"/>
  <c r="AN28" i="1"/>
  <c r="AN29" i="1"/>
  <c r="AK23" i="1"/>
  <c r="AN23" i="1" s="1"/>
  <c r="I19" i="3"/>
  <c r="AK22" i="1"/>
  <c r="AN22" i="1" s="1"/>
  <c r="G21" i="3"/>
  <c r="AK21" i="1"/>
  <c r="AN21" i="1" s="1"/>
  <c r="G20" i="3"/>
  <c r="AH24" i="1"/>
  <c r="AK18" i="1"/>
  <c r="AN18" i="1" s="1"/>
  <c r="AK19" i="1"/>
  <c r="AN19" i="1" s="1"/>
  <c r="AJ24" i="1"/>
  <c r="AI24" i="1"/>
  <c r="AK20" i="1"/>
  <c r="AN20" i="1" s="1"/>
  <c r="BC18" i="1"/>
  <c r="AZ18" i="1" s="1"/>
  <c r="AK31" i="1"/>
  <c r="O14" i="1"/>
  <c r="J14" i="4" s="1"/>
  <c r="D14" i="4"/>
  <c r="B15" i="3"/>
  <c r="E13" i="1"/>
  <c r="Y12" i="1"/>
  <c r="E12" i="1"/>
  <c r="E11" i="1"/>
  <c r="AO27" i="1" l="1"/>
  <c r="AT27" i="1" s="1"/>
  <c r="AO25" i="1"/>
  <c r="AR25" i="1" s="1"/>
  <c r="AO28" i="1"/>
  <c r="AS28" i="1" s="1"/>
  <c r="AO29" i="1"/>
  <c r="AR29" i="1" s="1"/>
  <c r="AO30" i="1"/>
  <c r="AU30" i="1" s="1"/>
  <c r="AO26" i="1"/>
  <c r="AT26" i="1" s="1"/>
  <c r="BA14" i="1" a="1"/>
  <c r="BA14" i="1" s="1"/>
  <c r="BA13" i="1" a="1"/>
  <c r="BA13" i="1" s="1"/>
  <c r="BA12" i="1" a="1"/>
  <c r="BA12" i="1" s="1"/>
  <c r="BA11" i="1" a="1"/>
  <c r="BA11" i="1" s="1"/>
  <c r="AK24" i="1"/>
  <c r="I20" i="3"/>
  <c r="N23" i="4"/>
  <c r="L25" i="4"/>
  <c r="AO20" i="1"/>
  <c r="AO22" i="1"/>
  <c r="AO18" i="1"/>
  <c r="AO19" i="1"/>
  <c r="AO21" i="1"/>
  <c r="AO23" i="1"/>
  <c r="D11" i="4"/>
  <c r="B12" i="3"/>
  <c r="D12" i="4"/>
  <c r="B13" i="3"/>
  <c r="D13" i="4"/>
  <c r="B14" i="3"/>
  <c r="Y14" i="1"/>
  <c r="D25" i="4"/>
  <c r="I14" i="4"/>
  <c r="N12" i="4"/>
  <c r="Y11" i="1"/>
  <c r="Y13" i="1"/>
  <c r="O11" i="1"/>
  <c r="AY11" i="1"/>
  <c r="O12" i="1"/>
  <c r="J12" i="4" s="1"/>
  <c r="O13" i="1"/>
  <c r="AY13" i="1"/>
  <c r="E10" i="1"/>
  <c r="Y8" i="1" s="1"/>
  <c r="E9" i="1"/>
  <c r="E8" i="1"/>
  <c r="AS29" i="1" l="1"/>
  <c r="AT28" i="1"/>
  <c r="AT25" i="1"/>
  <c r="AR26" i="1"/>
  <c r="C14" i="2" s="1"/>
  <c r="AT29" i="1"/>
  <c r="AU25" i="1"/>
  <c r="AS26" i="1"/>
  <c r="AR30" i="1"/>
  <c r="AU27" i="1"/>
  <c r="AV27" i="1" s="1"/>
  <c r="AS30" i="1"/>
  <c r="AR27" i="1"/>
  <c r="C10" i="2" s="1"/>
  <c r="AT30" i="1"/>
  <c r="AS27" i="1"/>
  <c r="AU29" i="1"/>
  <c r="AU26" i="1"/>
  <c r="AV26" i="1" s="1"/>
  <c r="AS25" i="1"/>
  <c r="AW30" i="1"/>
  <c r="AR28" i="1"/>
  <c r="AW28" i="1"/>
  <c r="AW27" i="1"/>
  <c r="AW26" i="1"/>
  <c r="AW29" i="1"/>
  <c r="AQ25" i="1"/>
  <c r="AW25" i="1"/>
  <c r="AW21" i="1"/>
  <c r="AU18" i="1"/>
  <c r="AW18" i="1"/>
  <c r="AW20" i="1"/>
  <c r="AW23" i="1"/>
  <c r="AW19" i="1"/>
  <c r="AW22" i="1"/>
  <c r="AU28" i="1"/>
  <c r="H14" i="2"/>
  <c r="Y9" i="1"/>
  <c r="BA7" i="1" a="1"/>
  <c r="BA7" i="1" s="1"/>
  <c r="BA8" i="1" a="1"/>
  <c r="BA8" i="1" s="1"/>
  <c r="J13" i="4"/>
  <c r="L23" i="4" s="1"/>
  <c r="M23" i="4" s="1"/>
  <c r="BB14" i="1" a="1"/>
  <c r="BB14" i="1" s="1"/>
  <c r="BB12" i="1" a="1"/>
  <c r="BB12" i="1" s="1"/>
  <c r="BC12" i="1" a="1"/>
  <c r="BC12" i="1" s="1"/>
  <c r="BC13" i="1" a="1"/>
  <c r="BC13" i="1" s="1"/>
  <c r="AY9" i="1"/>
  <c r="BA10" i="1" a="1"/>
  <c r="BA10" i="1" s="1"/>
  <c r="BA9" i="1" a="1"/>
  <c r="BA9" i="1" s="1"/>
  <c r="J11" i="4"/>
  <c r="N24" i="4" s="1"/>
  <c r="BB13" i="1" a="1"/>
  <c r="BB13" i="1" s="1"/>
  <c r="BB11" i="1" a="1"/>
  <c r="BB11" i="1" s="1"/>
  <c r="BC14" i="1" a="1"/>
  <c r="BC14" i="1" s="1"/>
  <c r="BC11" i="1" a="1"/>
  <c r="BC11" i="1" s="1"/>
  <c r="O8" i="1"/>
  <c r="J8" i="4" s="1"/>
  <c r="N18" i="4" s="1"/>
  <c r="N22" i="4"/>
  <c r="L24" i="4"/>
  <c r="G15" i="3"/>
  <c r="AS21" i="1"/>
  <c r="AU21" i="1"/>
  <c r="AT21" i="1"/>
  <c r="AS18" i="1"/>
  <c r="AT18" i="1"/>
  <c r="AU20" i="1"/>
  <c r="AT20" i="1"/>
  <c r="AS20" i="1"/>
  <c r="AS23" i="1"/>
  <c r="AT23" i="1"/>
  <c r="AU23" i="1"/>
  <c r="AS19" i="1"/>
  <c r="AT19" i="1"/>
  <c r="AU19" i="1"/>
  <c r="AT22" i="1"/>
  <c r="AS22" i="1"/>
  <c r="AU22" i="1"/>
  <c r="D10" i="4"/>
  <c r="B10" i="3"/>
  <c r="AY10" i="1"/>
  <c r="O10" i="1"/>
  <c r="J10" i="4" s="1"/>
  <c r="D9" i="4"/>
  <c r="B9" i="3"/>
  <c r="Y10" i="1"/>
  <c r="Z25" i="4"/>
  <c r="D23" i="4"/>
  <c r="N13" i="4"/>
  <c r="I13" i="4"/>
  <c r="D8" i="4"/>
  <c r="B8" i="3"/>
  <c r="D24" i="4"/>
  <c r="N14" i="4"/>
  <c r="I12" i="4"/>
  <c r="D22" i="4"/>
  <c r="N11" i="4"/>
  <c r="I11" i="4"/>
  <c r="O9" i="1"/>
  <c r="G25" i="4" l="1"/>
  <c r="E25" i="4" s="1"/>
  <c r="J25" i="4" s="1"/>
  <c r="G22" i="4"/>
  <c r="J22" i="4" s="1"/>
  <c r="G24" i="4"/>
  <c r="D14" i="3" s="1"/>
  <c r="F14" i="3" s="1"/>
  <c r="AV28" i="1"/>
  <c r="AV29" i="1"/>
  <c r="N25" i="4"/>
  <c r="M25" i="4" s="1"/>
  <c r="G23" i="4"/>
  <c r="J23" i="4" s="1"/>
  <c r="L22" i="4"/>
  <c r="M22" i="4" s="1"/>
  <c r="Z23" i="4"/>
  <c r="J9" i="4"/>
  <c r="N21" i="4" s="1"/>
  <c r="BB10" i="1" a="1"/>
  <c r="BB10" i="1" s="1"/>
  <c r="BB8" i="1" a="1"/>
  <c r="BB8" i="1" s="1"/>
  <c r="BC8" i="1" a="1"/>
  <c r="BC8" i="1" s="1"/>
  <c r="BC9" i="1"/>
  <c r="L20" i="4"/>
  <c r="G9" i="3" s="1"/>
  <c r="AV23" i="1"/>
  <c r="N19" i="4"/>
  <c r="L21" i="4"/>
  <c r="J24" i="4"/>
  <c r="G14" i="3"/>
  <c r="M24" i="4"/>
  <c r="AV19" i="1"/>
  <c r="AV20" i="1"/>
  <c r="AV21" i="1"/>
  <c r="AV22" i="1"/>
  <c r="D7" i="4"/>
  <c r="B7" i="3"/>
  <c r="L3" i="3" s="1"/>
  <c r="C3" i="3" s="1"/>
  <c r="D19" i="4"/>
  <c r="N9" i="4"/>
  <c r="I9" i="4"/>
  <c r="D20" i="4"/>
  <c r="N10" i="4"/>
  <c r="I8" i="4"/>
  <c r="Y7" i="1"/>
  <c r="Z22" i="4"/>
  <c r="Z24" i="4"/>
  <c r="D21" i="4"/>
  <c r="I10" i="4"/>
  <c r="N8" i="4"/>
  <c r="O7" i="1"/>
  <c r="AY7" i="1"/>
  <c r="P22" i="4" l="1"/>
  <c r="Q24" i="4" s="1"/>
  <c r="R22" i="4"/>
  <c r="G19" i="4"/>
  <c r="J19" i="4" s="1"/>
  <c r="L19" i="4"/>
  <c r="M19" i="4" s="1"/>
  <c r="G21" i="4"/>
  <c r="E21" i="4" s="1"/>
  <c r="E26" i="4" s="1"/>
  <c r="O23" i="4"/>
  <c r="J7" i="4"/>
  <c r="J16" i="4" s="1"/>
  <c r="BB9" i="1" a="1"/>
  <c r="BB9" i="1" s="1"/>
  <c r="BB7" i="1" a="1"/>
  <c r="BB7" i="1" s="1"/>
  <c r="BC10" i="1" a="1"/>
  <c r="BC10" i="1" s="1"/>
  <c r="BC7" i="1" a="1"/>
  <c r="BC7" i="1" s="1"/>
  <c r="Z20" i="4"/>
  <c r="AZ11" i="1"/>
  <c r="AZ13" i="1"/>
  <c r="O22" i="4"/>
  <c r="O25" i="4"/>
  <c r="Z19" i="4"/>
  <c r="O24" i="4"/>
  <c r="M21" i="4"/>
  <c r="Z21" i="4"/>
  <c r="D18" i="4"/>
  <c r="Z18" i="4" s="1"/>
  <c r="N7" i="4"/>
  <c r="I7" i="4"/>
  <c r="AZ14" i="1"/>
  <c r="AZ12" i="1"/>
  <c r="AY12" i="1" s="1"/>
  <c r="Q22" i="4" l="1"/>
  <c r="S24" i="4"/>
  <c r="Q25" i="4"/>
  <c r="S25" i="4"/>
  <c r="Q23" i="4"/>
  <c r="S22" i="4"/>
  <c r="S23" i="4"/>
  <c r="G8" i="3"/>
  <c r="G20" i="4"/>
  <c r="D9" i="3" s="1"/>
  <c r="F9" i="3" s="1"/>
  <c r="L18" i="4"/>
  <c r="M18" i="4" s="1"/>
  <c r="AZ7" i="1"/>
  <c r="G18" i="4"/>
  <c r="D7" i="3" s="1"/>
  <c r="N20" i="4"/>
  <c r="N26" i="4" s="1"/>
  <c r="AZ8" i="1"/>
  <c r="AY8" i="1" s="1"/>
  <c r="H12" i="3"/>
  <c r="G12" i="3"/>
  <c r="E12" i="3"/>
  <c r="I21" i="4"/>
  <c r="E10" i="3" s="1"/>
  <c r="D10" i="3"/>
  <c r="C10" i="3"/>
  <c r="C13" i="3"/>
  <c r="C15" i="3"/>
  <c r="D12" i="3"/>
  <c r="D13" i="3"/>
  <c r="E13" i="3"/>
  <c r="F21" i="3"/>
  <c r="H8" i="3"/>
  <c r="H10" i="3"/>
  <c r="G10" i="3"/>
  <c r="H13" i="3"/>
  <c r="G13" i="3"/>
  <c r="F17" i="3"/>
  <c r="F28" i="3"/>
  <c r="E7" i="3"/>
  <c r="E15" i="3"/>
  <c r="H7" i="3"/>
  <c r="H15" i="3"/>
  <c r="D15" i="3"/>
  <c r="J20" i="4" l="1"/>
  <c r="T25" i="4"/>
  <c r="T22" i="4"/>
  <c r="T23" i="4"/>
  <c r="T24" i="4"/>
  <c r="U22" i="4"/>
  <c r="V22" i="4"/>
  <c r="M20" i="4"/>
  <c r="M26" i="4" s="1"/>
  <c r="F7" i="3"/>
  <c r="J18" i="4"/>
  <c r="G26" i="4"/>
  <c r="G7" i="3"/>
  <c r="G31" i="3" s="1"/>
  <c r="L26" i="4"/>
  <c r="F15" i="3"/>
  <c r="I15" i="3" s="1"/>
  <c r="F10" i="3"/>
  <c r="I10" i="3" s="1"/>
  <c r="F13" i="3"/>
  <c r="I13" i="3" s="1"/>
  <c r="F12" i="3"/>
  <c r="I12" i="3" s="1"/>
  <c r="AZ9" i="1"/>
  <c r="AZ10" i="1"/>
  <c r="J21" i="4"/>
  <c r="I26" i="4"/>
  <c r="I17" i="3"/>
  <c r="F18" i="3"/>
  <c r="F22" i="3"/>
  <c r="F24" i="3"/>
  <c r="F27" i="3"/>
  <c r="I21" i="3"/>
  <c r="F29" i="3"/>
  <c r="I28" i="3"/>
  <c r="C31" i="3"/>
  <c r="J26" i="4" l="1"/>
  <c r="W25" i="4"/>
  <c r="X25" i="4" s="1"/>
  <c r="W22" i="4"/>
  <c r="X22" i="4" s="1"/>
  <c r="W23" i="4"/>
  <c r="X23" i="4" s="1"/>
  <c r="W24" i="4"/>
  <c r="X24" i="4" s="1"/>
  <c r="Y23" i="4"/>
  <c r="Y22" i="4"/>
  <c r="Y24" i="4"/>
  <c r="Y25" i="4"/>
  <c r="I7" i="3"/>
  <c r="AZ15" i="1"/>
  <c r="O21" i="4"/>
  <c r="R18" i="4"/>
  <c r="I29" i="3"/>
  <c r="I24" i="3"/>
  <c r="I27" i="3"/>
  <c r="I22" i="3"/>
  <c r="I18" i="3"/>
  <c r="O18" i="4"/>
  <c r="O19" i="4"/>
  <c r="O20" i="4"/>
  <c r="P18" i="4"/>
  <c r="BA27" i="1"/>
  <c r="BB26" i="1"/>
  <c r="BA26" i="1"/>
  <c r="BB27" i="1" a="1"/>
  <c r="BB27" i="1" s="1"/>
  <c r="BC26" i="1" a="1"/>
  <c r="BC26" i="1" s="1"/>
  <c r="AY26" i="1"/>
  <c r="Q18" i="4" l="1"/>
  <c r="Q21" i="4"/>
  <c r="S21" i="4" s="1"/>
  <c r="AZ27" i="1"/>
  <c r="Q19" i="4"/>
  <c r="Q20" i="4"/>
  <c r="S19" i="4"/>
  <c r="S18" i="4"/>
  <c r="S20" i="4"/>
  <c r="AR20" i="1"/>
  <c r="C13" i="2" s="1"/>
  <c r="AR21" i="1"/>
  <c r="AZ26" i="1"/>
  <c r="AR23" i="1"/>
  <c r="AR19" i="1"/>
  <c r="C9" i="2" s="1"/>
  <c r="AV25" i="1"/>
  <c r="AQ26" i="1" l="1"/>
  <c r="AQ27" i="1" s="1"/>
  <c r="AQ28" i="1" s="1"/>
  <c r="AQ29" i="1" s="1"/>
  <c r="V10" i="2" a="1"/>
  <c r="V10" i="2" s="1"/>
  <c r="V9" i="2" a="1"/>
  <c r="V9" i="2" s="1"/>
  <c r="V14" i="2" a="1"/>
  <c r="V14" i="2" s="1"/>
  <c r="V13" i="2" a="1"/>
  <c r="V13" i="2" s="1"/>
  <c r="T20" i="4"/>
  <c r="T19" i="4"/>
  <c r="T18" i="4"/>
  <c r="T21" i="4"/>
  <c r="AR22" i="1"/>
  <c r="AQ18" i="1"/>
  <c r="AR18" i="1"/>
  <c r="AS31" i="1"/>
  <c r="AT31" i="1"/>
  <c r="AV18" i="1"/>
  <c r="AQ19" i="1" s="1"/>
  <c r="AQ30" i="1" l="1"/>
  <c r="J29" i="3" s="1"/>
  <c r="J28" i="3"/>
  <c r="J24" i="3"/>
  <c r="M24" i="3" s="1"/>
  <c r="N24" i="3" s="1"/>
  <c r="J27" i="3"/>
  <c r="J25" i="3"/>
  <c r="J26" i="3"/>
  <c r="V18" i="4"/>
  <c r="U18" i="4"/>
  <c r="AQ20" i="1"/>
  <c r="AQ21" i="1" s="1"/>
  <c r="AQ22" i="1" s="1"/>
  <c r="J21" i="3" s="1"/>
  <c r="H13" i="2"/>
  <c r="M11" i="2" s="1"/>
  <c r="Z11" i="2" s="1"/>
  <c r="D37" i="4"/>
  <c r="D47" i="4" s="1"/>
  <c r="T10" i="2"/>
  <c r="D41" i="4"/>
  <c r="D51" i="4" s="1"/>
  <c r="T14" i="2"/>
  <c r="I41" i="4"/>
  <c r="I47" i="4" s="1"/>
  <c r="W13" i="2"/>
  <c r="D36" i="4"/>
  <c r="D46" i="4" s="1"/>
  <c r="T9" i="2"/>
  <c r="D40" i="4"/>
  <c r="D50" i="4" s="1"/>
  <c r="T13" i="2"/>
  <c r="J17" i="3"/>
  <c r="M17" i="3" s="1"/>
  <c r="AU31" i="1"/>
  <c r="AS24" i="1"/>
  <c r="AT24" i="1"/>
  <c r="AU24" i="1"/>
  <c r="AV24" i="1"/>
  <c r="BB19" i="1"/>
  <c r="BC19" i="1" a="1"/>
  <c r="BC19" i="1" s="1"/>
  <c r="BA20" i="1"/>
  <c r="BB20" i="1" a="1"/>
  <c r="BB20" i="1" s="1"/>
  <c r="BB21" i="1"/>
  <c r="BC21" i="1" a="1"/>
  <c r="BC21" i="1" s="1"/>
  <c r="BA22" i="1" a="1"/>
  <c r="BA22" i="1" s="1"/>
  <c r="AZ22" i="1" s="1"/>
  <c r="AY19" i="1"/>
  <c r="M29" i="3" l="1"/>
  <c r="N29" i="3" s="1"/>
  <c r="L29" i="3"/>
  <c r="K29" i="3"/>
  <c r="K28" i="3"/>
  <c r="L28" i="3"/>
  <c r="J19" i="3"/>
  <c r="M19" i="3" s="1"/>
  <c r="J18" i="3"/>
  <c r="M18" i="3" s="1"/>
  <c r="N18" i="3" s="1"/>
  <c r="AQ23" i="1"/>
  <c r="J22" i="3" s="1"/>
  <c r="M22" i="3" s="1"/>
  <c r="N22" i="3" s="1"/>
  <c r="N38" i="4"/>
  <c r="N45" i="4" s="1"/>
  <c r="K24" i="3"/>
  <c r="Q10" i="2"/>
  <c r="Y12" i="2" a="1"/>
  <c r="Y12" i="2" s="1"/>
  <c r="M25" i="3"/>
  <c r="K25" i="3"/>
  <c r="L25" i="3"/>
  <c r="M27" i="3"/>
  <c r="N27" i="3" s="1"/>
  <c r="K27" i="3"/>
  <c r="Q16" i="2"/>
  <c r="K26" i="3"/>
  <c r="I40" i="4"/>
  <c r="I46" i="4" s="1"/>
  <c r="W21" i="4"/>
  <c r="X21" i="4" s="1"/>
  <c r="W20" i="4"/>
  <c r="X20" i="4" s="1"/>
  <c r="W19" i="4"/>
  <c r="X19" i="4" s="1"/>
  <c r="W18" i="4"/>
  <c r="X18" i="4" s="1"/>
  <c r="J14" i="3" s="1"/>
  <c r="W12" i="2"/>
  <c r="Y13" i="2" a="1"/>
  <c r="Y13" i="2" s="1"/>
  <c r="J20" i="3"/>
  <c r="N17" i="3"/>
  <c r="K17" i="3"/>
  <c r="L21" i="3"/>
  <c r="K21" i="3"/>
  <c r="BC24" i="1"/>
  <c r="AZ19" i="1"/>
  <c r="AZ21" i="1"/>
  <c r="BA24" i="1"/>
  <c r="BB24" i="1"/>
  <c r="AZ20" i="1"/>
  <c r="AV31" i="1"/>
  <c r="BB28" i="1"/>
  <c r="BB31" i="1" s="1"/>
  <c r="BC28" i="1" a="1"/>
  <c r="BC28" i="1" s="1"/>
  <c r="BA29" i="1" a="1"/>
  <c r="BA29" i="1" s="1"/>
  <c r="AZ29" i="1" s="1"/>
  <c r="H9" i="3"/>
  <c r="I9" i="3" s="1"/>
  <c r="D8" i="3"/>
  <c r="E8" i="3"/>
  <c r="K19" i="3" l="1"/>
  <c r="L18" i="3"/>
  <c r="K18" i="3"/>
  <c r="Q9" i="2"/>
  <c r="R9" i="2" s="1"/>
  <c r="L22" i="3"/>
  <c r="K22" i="3"/>
  <c r="Y20" i="4"/>
  <c r="J9" i="3" s="1"/>
  <c r="M9" i="3" s="1"/>
  <c r="Y18" i="4"/>
  <c r="J7" i="3" s="1"/>
  <c r="O25" i="3"/>
  <c r="K20" i="3"/>
  <c r="Q15" i="2"/>
  <c r="R15" i="2" s="1"/>
  <c r="M20" i="3"/>
  <c r="K14" i="3"/>
  <c r="J15" i="3"/>
  <c r="K15" i="3" s="1"/>
  <c r="J13" i="3"/>
  <c r="K13" i="3" s="1"/>
  <c r="Y21" i="4"/>
  <c r="J10" i="3" s="1"/>
  <c r="Y19" i="4"/>
  <c r="J8" i="3" s="1"/>
  <c r="J12" i="3"/>
  <c r="C8" i="2"/>
  <c r="C12" i="2"/>
  <c r="H8" i="2"/>
  <c r="L19" i="3"/>
  <c r="O29" i="3"/>
  <c r="BA31" i="1"/>
  <c r="AZ24" i="1"/>
  <c r="D31" i="3"/>
  <c r="BC31" i="1"/>
  <c r="AZ28" i="1"/>
  <c r="R16" i="2" s="1"/>
  <c r="E31" i="3"/>
  <c r="F8" i="3"/>
  <c r="O19" i="3" l="1"/>
  <c r="O18" i="3"/>
  <c r="O22" i="3"/>
  <c r="K9" i="3"/>
  <c r="R10" i="2"/>
  <c r="K8" i="3"/>
  <c r="C7" i="2"/>
  <c r="V7" i="2" s="1" a="1"/>
  <c r="V7" i="2" s="1"/>
  <c r="C11" i="2"/>
  <c r="D38" i="4" s="1"/>
  <c r="D48" i="4" s="1"/>
  <c r="K10" i="3"/>
  <c r="H7" i="2"/>
  <c r="Y8" i="2" s="1" a="1"/>
  <c r="Y8" i="2" s="1"/>
  <c r="J31" i="3"/>
  <c r="W9" i="2"/>
  <c r="I35" i="4"/>
  <c r="I45" i="4" s="1"/>
  <c r="D35" i="4"/>
  <c r="D45" i="4" s="1"/>
  <c r="T8" i="2"/>
  <c r="D39" i="4"/>
  <c r="D49" i="4" s="1"/>
  <c r="T12" i="2"/>
  <c r="Q8" i="2"/>
  <c r="R8" i="2" s="1"/>
  <c r="K12" i="3"/>
  <c r="Q7" i="2"/>
  <c r="R7" i="2" s="1"/>
  <c r="K7" i="3"/>
  <c r="AZ31" i="1"/>
  <c r="I8" i="3"/>
  <c r="F31" i="3"/>
  <c r="H14" i="3"/>
  <c r="I14" i="3" s="1"/>
  <c r="Y9" i="2" l="1" a="1"/>
  <c r="Y9" i="2" s="1"/>
  <c r="M10" i="2"/>
  <c r="AB11" i="2" s="1" a="1"/>
  <c r="AB11" i="2" s="1"/>
  <c r="V12" i="2" a="1"/>
  <c r="V12" i="2" s="1"/>
  <c r="W8" i="2"/>
  <c r="X8" i="2" s="1"/>
  <c r="D34" i="4"/>
  <c r="D44" i="4" s="1"/>
  <c r="L14" i="3" s="1"/>
  <c r="T7" i="2"/>
  <c r="U10" i="2" s="1"/>
  <c r="V11" i="2" a="1"/>
  <c r="V11" i="2" s="1"/>
  <c r="I34" i="4"/>
  <c r="I44" i="4" s="1"/>
  <c r="M10" i="3" s="1"/>
  <c r="M21" i="3"/>
  <c r="M28" i="3"/>
  <c r="N28" i="3" s="1"/>
  <c r="O28" i="3" s="1"/>
  <c r="L9" i="3"/>
  <c r="V8" i="2" a="1"/>
  <c r="V8" i="2" s="1"/>
  <c r="T11" i="2"/>
  <c r="L12" i="3"/>
  <c r="M14" i="3"/>
  <c r="N14" i="3" s="1"/>
  <c r="N9" i="3"/>
  <c r="M13" i="3"/>
  <c r="M15" i="3"/>
  <c r="N15" i="3" s="1"/>
  <c r="L15" i="3"/>
  <c r="K31" i="3"/>
  <c r="L26" i="3"/>
  <c r="L17" i="3"/>
  <c r="O17" i="3" s="1"/>
  <c r="L20" i="3"/>
  <c r="O20" i="3" s="1"/>
  <c r="H31" i="3"/>
  <c r="I31" i="3"/>
  <c r="U8" i="2" l="1"/>
  <c r="U12" i="2"/>
  <c r="AB10" i="2" a="1"/>
  <c r="AB10" i="2" s="1"/>
  <c r="N37" i="4"/>
  <c r="N44" i="4" s="1"/>
  <c r="U14" i="2"/>
  <c r="U7" i="2"/>
  <c r="Z10" i="2"/>
  <c r="E20" i="6" s="1"/>
  <c r="U9" i="2"/>
  <c r="U13" i="2"/>
  <c r="X13" i="2"/>
  <c r="X9" i="2"/>
  <c r="X12" i="2"/>
  <c r="N10" i="3"/>
  <c r="N13" i="3"/>
  <c r="L8" i="3"/>
  <c r="O14" i="3"/>
  <c r="U11" i="2"/>
  <c r="L24" i="3"/>
  <c r="O24" i="3" s="1"/>
  <c r="L7" i="3"/>
  <c r="L27" i="3"/>
  <c r="O27" i="3" s="1"/>
  <c r="M26" i="3"/>
  <c r="O26" i="3" s="1"/>
  <c r="M7" i="3"/>
  <c r="N7" i="3" s="1"/>
  <c r="AA11" i="2"/>
  <c r="L13" i="3"/>
  <c r="L10" i="3"/>
  <c r="M12" i="3"/>
  <c r="N12" i="3" s="1"/>
  <c r="M8" i="3"/>
  <c r="N8" i="3" s="1"/>
  <c r="O8" i="3" s="1"/>
  <c r="O15" i="3"/>
  <c r="O9" i="3"/>
  <c r="N21" i="3"/>
  <c r="O21" i="3" s="1"/>
  <c r="E21" i="6"/>
  <c r="E13" i="6"/>
  <c r="E6" i="6" l="1"/>
  <c r="E3" i="6"/>
  <c r="E5" i="6"/>
  <c r="E9" i="6"/>
  <c r="E8" i="6"/>
  <c r="E14" i="6"/>
  <c r="AA10" i="2"/>
  <c r="E11" i="6"/>
  <c r="E12" i="6"/>
  <c r="E4" i="6"/>
  <c r="E17" i="6"/>
  <c r="E19" i="6"/>
  <c r="E2" i="6"/>
  <c r="E18" i="6"/>
  <c r="E10" i="6"/>
  <c r="E7" i="6"/>
  <c r="E16" i="6"/>
  <c r="E15" i="6"/>
  <c r="O13" i="3"/>
  <c r="L31" i="3"/>
  <c r="O10" i="3"/>
  <c r="M31" i="3"/>
  <c r="O12" i="3"/>
  <c r="O7" i="3"/>
  <c r="N31" i="3"/>
  <c r="E22" i="6" l="1"/>
  <c r="O31" i="3"/>
</calcChain>
</file>

<file path=xl/sharedStrings.xml><?xml version="1.0" encoding="utf-8"?>
<sst xmlns="http://schemas.openxmlformats.org/spreadsheetml/2006/main" count="262" uniqueCount="140">
  <si>
    <t>FEDERATION FRANCAISE DU SPORT BOULES</t>
  </si>
  <si>
    <t>LIGUE SPORT BOULES F1</t>
  </si>
  <si>
    <t>1ère PARTIE</t>
  </si>
  <si>
    <t>2ème PARTIE</t>
  </si>
  <si>
    <t>3ème PARTIE</t>
  </si>
  <si>
    <t>Groupe</t>
  </si>
  <si>
    <t>jeux</t>
  </si>
  <si>
    <t>NOM</t>
  </si>
  <si>
    <t>score</t>
  </si>
  <si>
    <t>PARTIE DE CLASSEMENT</t>
  </si>
  <si>
    <t>1/2 FINALE 1</t>
  </si>
  <si>
    <t>1A</t>
  </si>
  <si>
    <t>FINALE</t>
  </si>
  <si>
    <t>1B</t>
  </si>
  <si>
    <t>1C</t>
  </si>
  <si>
    <t>1D</t>
  </si>
  <si>
    <t>2A</t>
  </si>
  <si>
    <t>1/2 FINALE 2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</si>
  <si>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</si>
  <si>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</si>
  <si>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</si>
  <si>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</si>
  <si>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</si>
  <si>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</si>
  <si>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</si>
  <si>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</si>
  <si>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</si>
  <si>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</si>
  <si>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</si>
  <si>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</si>
  <si>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</si>
  <si>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</si>
  <si>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</si>
  <si>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</si>
  <si>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</si>
  <si>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</si>
  <si>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</si>
  <si>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</si>
  <si>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</si>
  <si>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</si>
  <si>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</si>
  <si>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</si>
  <si>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</si>
  <si>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</si>
  <si>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</si>
  <si>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</si>
  <si>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PARTIE DE CLASSEMENT - 18h30-20h30</t>
  </si>
  <si>
    <t>1/2 FINALE 1 - 16h00 - 18h00</t>
  </si>
  <si>
    <t>FINALE - 21h00-23h00</t>
  </si>
  <si>
    <t>1/2 FINALE 2 - 18h30 - 20h30</t>
  </si>
  <si>
    <t>N°</t>
  </si>
  <si>
    <t>AS</t>
  </si>
  <si>
    <t>NOM   Prénom</t>
  </si>
  <si>
    <t>Points de Catégorisation sortie Groupe</t>
  </si>
  <si>
    <t>T OTAL</t>
  </si>
  <si>
    <t>1ère P</t>
  </si>
  <si>
    <t>2ème P</t>
  </si>
  <si>
    <t>3ème P</t>
  </si>
  <si>
    <t>Points de Catégorisation</t>
  </si>
  <si>
    <t>4ème de Poule</t>
  </si>
  <si>
    <t>CLASSEMENT</t>
  </si>
  <si>
    <t>1/2 Finales</t>
  </si>
  <si>
    <t>1/2 F</t>
  </si>
  <si>
    <t>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</si>
  <si>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</si>
  <si>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Tirage </t>
  </si>
  <si>
    <t>Partie  Class.</t>
  </si>
  <si>
    <t>CONCOURS QUALIFICATIFS - ARDECHE 2022.23</t>
  </si>
  <si>
    <t>Nbre parties Gagnées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</si>
  <si>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</si>
  <si>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</si>
  <si>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</si>
  <si>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</si>
  <si>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</si>
  <si>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Enregistrer le tirage colonne D</t>
  </si>
  <si>
    <t>Nbre de parties gagnées colonne E pour la Fiche d'inscription</t>
  </si>
  <si>
    <t>4 (1A_G)</t>
  </si>
  <si>
    <t>5(1A_F)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</si>
  <si>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</si>
  <si>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</si>
  <si>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</si>
  <si>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</si>
  <si>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</si>
  <si>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6(1A_CL)</t>
  </si>
  <si>
    <t>Ce tableau permet de suivre l'évolution des parties ainsi que les points de classement</t>
  </si>
  <si>
    <t>(Si possible avec un écran visible des joueurs)</t>
  </si>
  <si>
    <t>OFFICE</t>
  </si>
  <si>
    <t>Pts</t>
  </si>
  <si>
    <t>Pour</t>
  </si>
  <si>
    <t>Contre</t>
  </si>
  <si>
    <t>GA</t>
  </si>
  <si>
    <t>Cat.</t>
  </si>
  <si>
    <t>CONCOURS QUALIFICATIFS - ARDECHE 2024.25</t>
  </si>
  <si>
    <t>Ponts de Catégorisation</t>
  </si>
  <si>
    <t>Epreuve d'appui</t>
  </si>
  <si>
    <t>Enregistrer résultats colonnes F, P et Z</t>
  </si>
  <si>
    <t>Le tableau  colonne AZ donne les points de catégorisation 1 pt par partie gagnée (Sauf OFFICE)</t>
  </si>
  <si>
    <t>Epreuve</t>
  </si>
  <si>
    <t>d'appui</t>
  </si>
  <si>
    <t>RESULTATS</t>
  </si>
  <si>
    <t>5ème de Poule</t>
  </si>
  <si>
    <t>+</t>
  </si>
  <si>
    <t xml:space="preserve">                                               </t>
  </si>
  <si>
    <t>M3      Journée  18 Equipes</t>
  </si>
  <si>
    <t>FAURE Thierry</t>
  </si>
  <si>
    <t>Villeneuve de Berg</t>
  </si>
  <si>
    <t>EYRAUD Jean-Paul</t>
  </si>
  <si>
    <t>ALISSAS</t>
  </si>
  <si>
    <t xml:space="preserve">DESGACHES Jonathan </t>
  </si>
  <si>
    <t>Guilherand-Granges</t>
  </si>
  <si>
    <t xml:space="preserve">CROZE Lilian </t>
  </si>
  <si>
    <t xml:space="preserve">Jaujac </t>
  </si>
  <si>
    <t>BOURBON Stephane</t>
  </si>
  <si>
    <t>Cornas</t>
  </si>
  <si>
    <t>ISIDORE SERGE</t>
  </si>
  <si>
    <t>CHARMES ST GEORGES</t>
  </si>
  <si>
    <t>HILAIRE Gabriel</t>
  </si>
  <si>
    <t>PRIVAS</t>
  </si>
  <si>
    <t>GERLAND JACQUES</t>
  </si>
  <si>
    <t>DESAIGNES</t>
  </si>
  <si>
    <t>JOUVE GERARD</t>
  </si>
  <si>
    <t xml:space="preserve">SOUCHE Thierry </t>
  </si>
  <si>
    <t>ALLIX Valentin</t>
  </si>
  <si>
    <t>Cruas</t>
  </si>
  <si>
    <t>CHAMP Luc</t>
  </si>
  <si>
    <t>Flaviac</t>
  </si>
  <si>
    <t>CHARBONNIER eric</t>
  </si>
  <si>
    <t>SAINT CIRGUES EN MONTAGNE</t>
  </si>
  <si>
    <t>AGUILERA Vincent</t>
  </si>
  <si>
    <t>Le Teil</t>
  </si>
  <si>
    <t>TOULOUZE Jean-louis</t>
  </si>
  <si>
    <t>Ruoms</t>
  </si>
  <si>
    <t>BROUSSET Lilian</t>
  </si>
  <si>
    <t>Villeneuve De Berg</t>
  </si>
  <si>
    <t>CHAMBONNET Jean-Pierre</t>
  </si>
  <si>
    <t>ALBA</t>
  </si>
  <si>
    <t xml:space="preserve">CHOSSON Benjamin </t>
  </si>
  <si>
    <t>TOURNON</t>
  </si>
  <si>
    <t>Samedi 14/09/2024</t>
  </si>
  <si>
    <t>Alissas 14/09/2024 18 équipes 1ère journée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</si>
</sst>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00000"/>
  </numFmts>
  <fonts count="4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theme="4" tint="-0.49998474074526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Arial Nova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color theme="6" tint="0.39997558519241921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i/>
      <sz val="14"/>
      <color theme="3" tint="-0.249977111117893"/>
      <name val="Arial"/>
      <family val="2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theme="6" tint="0.39997558519241921"/>
      <name val="Times New Roman"/>
      <family val="1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7" fillId="2" borderId="14" xfId="0" applyFont="1" applyFill="1" applyBorder="1" applyAlignment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7" fillId="2" borderId="1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0" fillId="6" borderId="54" xfId="0" quotePrefix="1" applyFill="1" applyBorder="1" applyAlignment="1">
      <alignment horizontal="center" vertical="center"/>
    </xf>
    <xf numFmtId="0" fontId="0" fillId="6" borderId="12" xfId="0" quotePrefix="1" applyFill="1" applyBorder="1" applyAlignment="1">
      <alignment horizontal="center" vertical="center"/>
    </xf>
    <xf numFmtId="0" fontId="0" fillId="6" borderId="60" xfId="0" quotePrefix="1" applyFill="1" applyBorder="1" applyAlignment="1">
      <alignment horizontal="center" vertical="center"/>
    </xf>
    <xf numFmtId="0" fontId="0" fillId="6" borderId="23" xfId="0" quotePrefix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6" borderId="62" xfId="0" quotePrefix="1" applyFont="1" applyFill="1" applyBorder="1" applyAlignment="1">
      <alignment horizontal="center" vertical="center"/>
    </xf>
    <xf numFmtId="0" fontId="26" fillId="6" borderId="57" xfId="0" quotePrefix="1" applyFont="1" applyFill="1" applyBorder="1" applyAlignment="1">
      <alignment horizontal="center" vertical="center"/>
    </xf>
    <xf numFmtId="0" fontId="26" fillId="0" borderId="65" xfId="0" quotePrefix="1" applyFont="1" applyBorder="1" applyAlignment="1">
      <alignment horizontal="center" vertical="center"/>
    </xf>
    <xf numFmtId="0" fontId="26" fillId="6" borderId="54" xfId="0" quotePrefix="1" applyFont="1" applyFill="1" applyBorder="1" applyAlignment="1">
      <alignment horizontal="center" vertical="center"/>
    </xf>
    <xf numFmtId="0" fontId="26" fillId="0" borderId="12" xfId="0" quotePrefix="1" applyFont="1" applyBorder="1" applyAlignment="1">
      <alignment horizontal="center" vertical="center"/>
    </xf>
    <xf numFmtId="0" fontId="26" fillId="0" borderId="54" xfId="0" quotePrefix="1" applyFont="1" applyBorder="1" applyAlignment="1">
      <alignment horizontal="center" vertical="center"/>
    </xf>
    <xf numFmtId="0" fontId="26" fillId="0" borderId="57" xfId="0" quotePrefix="1" applyFont="1" applyBorder="1" applyAlignment="1">
      <alignment horizontal="center" vertical="center"/>
    </xf>
    <xf numFmtId="0" fontId="26" fillId="0" borderId="60" xfId="0" quotePrefix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6" fillId="0" borderId="7" xfId="1" applyFont="1" applyBorder="1" applyAlignment="1" applyProtection="1">
      <alignment horizontal="center" vertical="center"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6" borderId="66" xfId="0" quotePrefix="1" applyFill="1" applyBorder="1" applyAlignment="1">
      <alignment horizontal="center" vertical="center"/>
    </xf>
    <xf numFmtId="0" fontId="26" fillId="6" borderId="67" xfId="0" quotePrefix="1" applyFont="1" applyFill="1" applyBorder="1" applyAlignment="1">
      <alignment horizontal="center" vertical="center"/>
    </xf>
    <xf numFmtId="0" fontId="26" fillId="0" borderId="70" xfId="0" quotePrefix="1" applyFont="1" applyBorder="1" applyAlignment="1">
      <alignment horizontal="center" vertical="center"/>
    </xf>
    <xf numFmtId="0" fontId="26" fillId="0" borderId="66" xfId="0" quotePrefix="1" applyFont="1" applyBorder="1" applyAlignment="1">
      <alignment horizontal="center" vertical="center"/>
    </xf>
    <xf numFmtId="0" fontId="0" fillId="6" borderId="68" xfId="0" quotePrefix="1" applyFill="1" applyBorder="1" applyAlignment="1">
      <alignment horizontal="center" vertical="center"/>
    </xf>
    <xf numFmtId="0" fontId="0" fillId="6" borderId="7" xfId="0" quotePrefix="1" applyFill="1" applyBorder="1" applyAlignment="1">
      <alignment horizontal="center" vertical="center"/>
    </xf>
    <xf numFmtId="0" fontId="26" fillId="6" borderId="37" xfId="0" quotePrefix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0" fillId="6" borderId="11" xfId="0" quotePrefix="1" applyFill="1" applyBorder="1" applyAlignment="1">
      <alignment horizontal="center" vertical="center"/>
    </xf>
    <xf numFmtId="0" fontId="0" fillId="6" borderId="25" xfId="0" quotePrefix="1" applyFill="1" applyBorder="1" applyAlignment="1">
      <alignment horizontal="center" vertical="center"/>
    </xf>
    <xf numFmtId="0" fontId="26" fillId="0" borderId="48" xfId="0" quotePrefix="1" applyFont="1" applyBorder="1" applyAlignment="1">
      <alignment horizontal="center" vertical="center"/>
    </xf>
    <xf numFmtId="0" fontId="26" fillId="6" borderId="71" xfId="0" quotePrefix="1" applyFont="1" applyFill="1" applyBorder="1" applyAlignment="1">
      <alignment horizontal="center" vertical="center"/>
    </xf>
    <xf numFmtId="0" fontId="26" fillId="6" borderId="25" xfId="0" quotePrefix="1" applyFont="1" applyFill="1" applyBorder="1" applyAlignment="1">
      <alignment horizontal="center" vertical="center"/>
    </xf>
    <xf numFmtId="0" fontId="0" fillId="6" borderId="30" xfId="0" quotePrefix="1" applyFill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6" borderId="56" xfId="0" quotePrefix="1" applyFont="1" applyFill="1" applyBorder="1" applyAlignment="1">
      <alignment horizontal="center" vertical="center"/>
    </xf>
    <xf numFmtId="0" fontId="3" fillId="6" borderId="7" xfId="0" quotePrefix="1" applyFont="1" applyFill="1" applyBorder="1" applyAlignment="1">
      <alignment horizontal="center" vertical="center"/>
    </xf>
    <xf numFmtId="0" fontId="0" fillId="0" borderId="49" xfId="0" applyBorder="1"/>
    <xf numFmtId="0" fontId="0" fillId="0" borderId="26" xfId="0" applyBorder="1"/>
    <xf numFmtId="0" fontId="0" fillId="0" borderId="69" xfId="0" applyBorder="1"/>
    <xf numFmtId="0" fontId="0" fillId="0" borderId="28" xfId="0" applyBorder="1"/>
    <xf numFmtId="0" fontId="0" fillId="0" borderId="1" xfId="0" applyBorder="1"/>
    <xf numFmtId="0" fontId="0" fillId="0" borderId="72" xfId="0" applyBorder="1"/>
    <xf numFmtId="0" fontId="0" fillId="0" borderId="22" xfId="0" applyBorder="1"/>
    <xf numFmtId="0" fontId="0" fillId="0" borderId="73" xfId="0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165" fontId="21" fillId="0" borderId="55" xfId="0" quotePrefix="1" applyNumberFormat="1" applyFont="1" applyBorder="1" applyAlignment="1">
      <alignment horizontal="center" vertical="center"/>
    </xf>
    <xf numFmtId="0" fontId="21" fillId="0" borderId="39" xfId="0" quotePrefix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7" fillId="3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1" fillId="0" borderId="0" xfId="0" applyFont="1"/>
    <xf numFmtId="0" fontId="21" fillId="3" borderId="9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>
      <alignment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2" xfId="1" applyFont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wrapText="1"/>
    </xf>
    <xf numFmtId="0" fontId="37" fillId="0" borderId="15" xfId="1" applyFont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41" fillId="2" borderId="18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37" fillId="6" borderId="28" xfId="0" applyFont="1" applyFill="1" applyBorder="1" applyAlignment="1" applyProtection="1">
      <alignment vertical="center" wrapText="1"/>
      <protection locked="0"/>
    </xf>
    <xf numFmtId="0" fontId="21" fillId="0" borderId="66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6" borderId="0" xfId="0" applyFont="1" applyFill="1" applyAlignment="1" applyProtection="1">
      <alignment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6" borderId="49" xfId="0" applyFont="1" applyFill="1" applyBorder="1" applyAlignment="1" applyProtection="1">
      <alignment vertical="center" wrapText="1"/>
      <protection locked="0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0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1" fillId="0" borderId="54" xfId="0" quotePrefix="1" applyFont="1" applyBorder="1" applyAlignment="1">
      <alignment horizontal="center" vertical="center"/>
    </xf>
    <xf numFmtId="0" fontId="21" fillId="0" borderId="50" xfId="0" quotePrefix="1" applyFont="1" applyBorder="1" applyAlignment="1">
      <alignment horizontal="center" vertical="center"/>
    </xf>
    <xf numFmtId="0" fontId="21" fillId="0" borderId="51" xfId="0" quotePrefix="1" applyFont="1" applyBorder="1" applyAlignment="1">
      <alignment horizontal="center" vertical="center"/>
    </xf>
    <xf numFmtId="0" fontId="21" fillId="10" borderId="37" xfId="0" applyFont="1" applyFill="1" applyBorder="1" applyAlignment="1">
      <alignment horizontal="center" vertical="center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7" fillId="6" borderId="72" xfId="0" applyFont="1" applyFill="1" applyBorder="1" applyAlignment="1" applyProtection="1">
      <alignment vertical="center" wrapText="1"/>
      <protection locked="0"/>
    </xf>
    <xf numFmtId="0" fontId="21" fillId="0" borderId="68" xfId="0" applyFont="1" applyBorder="1" applyAlignment="1" applyProtection="1">
      <alignment horizontal="center" vertical="center" wrapText="1"/>
      <protection locked="0"/>
    </xf>
    <xf numFmtId="0" fontId="37" fillId="6" borderId="22" xfId="0" applyFont="1" applyFill="1" applyBorder="1" applyAlignment="1" applyProtection="1">
      <alignment vertical="center" wrapText="1"/>
      <protection locked="0"/>
    </xf>
    <xf numFmtId="0" fontId="21" fillId="11" borderId="63" xfId="0" quotePrefix="1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39" xfId="0" quotePrefix="1" applyFont="1" applyBorder="1" applyAlignment="1">
      <alignment horizontal="center" vertical="center" wrapText="1"/>
    </xf>
    <xf numFmtId="0" fontId="21" fillId="0" borderId="46" xfId="0" quotePrefix="1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21" fillId="0" borderId="55" xfId="0" quotePrefix="1" applyFont="1" applyBorder="1" applyAlignment="1">
      <alignment horizontal="center" vertical="center"/>
    </xf>
    <xf numFmtId="0" fontId="21" fillId="0" borderId="52" xfId="0" quotePrefix="1" applyFont="1" applyBorder="1" applyAlignment="1">
      <alignment horizontal="center" vertical="center"/>
    </xf>
    <xf numFmtId="0" fontId="21" fillId="0" borderId="73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21" fillId="0" borderId="58" xfId="0" quotePrefix="1" applyFont="1" applyBorder="1" applyAlignment="1">
      <alignment horizontal="center" vertical="center"/>
    </xf>
    <xf numFmtId="0" fontId="21" fillId="0" borderId="59" xfId="0" quotePrefix="1" applyFont="1" applyBorder="1" applyAlignment="1">
      <alignment horizontal="center" vertical="center"/>
    </xf>
    <xf numFmtId="0" fontId="21" fillId="10" borderId="56" xfId="0" applyFont="1" applyFill="1" applyBorder="1" applyAlignment="1">
      <alignment horizontal="center" vertical="center"/>
    </xf>
    <xf numFmtId="0" fontId="37" fillId="6" borderId="6" xfId="0" applyFont="1" applyFill="1" applyBorder="1" applyAlignment="1" applyProtection="1">
      <alignment horizontal="center" vertical="center" wrapText="1"/>
      <protection locked="0"/>
    </xf>
    <xf numFmtId="0" fontId="21" fillId="13" borderId="0" xfId="0" applyFont="1" applyFill="1" applyAlignment="1">
      <alignment horizontal="center" vertical="center" wrapText="1"/>
    </xf>
    <xf numFmtId="0" fontId="37" fillId="6" borderId="6" xfId="0" applyFont="1" applyFill="1" applyBorder="1" applyAlignment="1" applyProtection="1">
      <alignment vertical="center" wrapText="1"/>
      <protection locked="0"/>
    </xf>
    <xf numFmtId="0" fontId="21" fillId="12" borderId="8" xfId="0" quotePrefix="1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75" xfId="0" quotePrefix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1" fillId="0" borderId="60" xfId="0" quotePrefix="1" applyFont="1" applyBorder="1" applyAlignment="1">
      <alignment horizontal="center" vertical="center"/>
    </xf>
    <xf numFmtId="0" fontId="21" fillId="0" borderId="38" xfId="0" quotePrefix="1" applyFont="1" applyBorder="1" applyAlignment="1">
      <alignment horizontal="center" vertical="center"/>
    </xf>
    <xf numFmtId="0" fontId="21" fillId="0" borderId="53" xfId="0" quotePrefix="1" applyFont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37" fillId="6" borderId="10" xfId="0" applyFont="1" applyFill="1" applyBorder="1" applyAlignment="1" applyProtection="1">
      <alignment horizontal="center" vertical="center" wrapText="1"/>
      <protection locked="0"/>
    </xf>
    <xf numFmtId="0" fontId="37" fillId="6" borderId="10" xfId="0" applyFont="1" applyFill="1" applyBorder="1" applyAlignment="1" applyProtection="1">
      <alignment vertical="center" wrapText="1"/>
      <protection locked="0"/>
    </xf>
    <xf numFmtId="0" fontId="21" fillId="0" borderId="7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0" fontId="21" fillId="0" borderId="73" xfId="0" applyFont="1" applyBorder="1" applyProtection="1">
      <protection locked="0"/>
    </xf>
    <xf numFmtId="0" fontId="21" fillId="12" borderId="72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6" borderId="40" xfId="0" quotePrefix="1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21" fillId="6" borderId="3" xfId="0" quotePrefix="1" applyFont="1" applyFill="1" applyBorder="1" applyAlignment="1">
      <alignment horizontal="center" vertical="center"/>
    </xf>
    <xf numFmtId="0" fontId="21" fillId="6" borderId="4" xfId="0" quotePrefix="1" applyFont="1" applyFill="1" applyBorder="1" applyAlignment="1">
      <alignment horizontal="center" vertical="center"/>
    </xf>
    <xf numFmtId="0" fontId="21" fillId="0" borderId="0" xfId="0" applyFont="1" applyProtection="1"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21" fillId="13" borderId="0" xfId="0" applyFont="1" applyFill="1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42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21" fillId="14" borderId="63" xfId="0" quotePrefix="1" applyFont="1" applyFill="1" applyBorder="1" applyAlignment="1">
      <alignment horizontal="center" vertical="center" wrapText="1"/>
    </xf>
    <xf numFmtId="0" fontId="21" fillId="14" borderId="72" xfId="0" quotePrefix="1" applyFont="1" applyFill="1" applyBorder="1" applyAlignment="1">
      <alignment horizontal="center" vertical="center" wrapText="1"/>
    </xf>
    <xf numFmtId="0" fontId="21" fillId="14" borderId="74" xfId="0" quotePrefix="1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43" fillId="5" borderId="7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8" xfId="0" quotePrefix="1" applyFont="1" applyBorder="1" applyAlignment="1">
      <alignment horizontal="center" vertical="center" wrapText="1"/>
    </xf>
    <xf numFmtId="0" fontId="26" fillId="0" borderId="24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1" fillId="0" borderId="78" xfId="0" quotePrefix="1" applyFont="1" applyBorder="1" applyAlignment="1">
      <alignment horizontal="center" vertical="center" wrapText="1"/>
    </xf>
    <xf numFmtId="0" fontId="21" fillId="0" borderId="79" xfId="0" quotePrefix="1" applyFont="1" applyBorder="1" applyAlignment="1">
      <alignment horizontal="center" vertical="center" wrapText="1"/>
    </xf>
    <xf numFmtId="0" fontId="21" fillId="14" borderId="25" xfId="0" applyFont="1" applyFill="1" applyBorder="1" applyAlignment="1">
      <alignment horizontal="center" vertical="center" wrapText="1"/>
    </xf>
    <xf numFmtId="0" fontId="21" fillId="0" borderId="30" xfId="0" quotePrefix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80" xfId="0" quotePrefix="1" applyFont="1" applyBorder="1" applyAlignment="1">
      <alignment horizontal="center" vertical="center" wrapText="1"/>
    </xf>
    <xf numFmtId="0" fontId="21" fillId="0" borderId="58" xfId="0" quotePrefix="1" applyFont="1" applyBorder="1" applyAlignment="1">
      <alignment horizontal="center" vertical="center" wrapText="1"/>
    </xf>
    <xf numFmtId="0" fontId="21" fillId="6" borderId="81" xfId="0" quotePrefix="1" applyFont="1" applyFill="1" applyBorder="1" applyAlignment="1">
      <alignment horizontal="center" vertical="center" wrapText="1"/>
    </xf>
    <xf numFmtId="0" fontId="21" fillId="6" borderId="77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22" fillId="0" borderId="7" xfId="0" quotePrefix="1" applyNumberFormat="1" applyFont="1" applyBorder="1" applyAlignment="1">
      <alignment horizontal="center" vertical="center" wrapText="1"/>
    </xf>
    <xf numFmtId="1" fontId="22" fillId="0" borderId="37" xfId="0" quotePrefix="1" applyNumberFormat="1" applyFont="1" applyBorder="1" applyAlignment="1">
      <alignment horizontal="center" vertical="center" wrapText="1"/>
    </xf>
    <xf numFmtId="1" fontId="22" fillId="0" borderId="11" xfId="0" quotePrefix="1" applyNumberFormat="1" applyFont="1" applyBorder="1" applyAlignment="1">
      <alignment horizontal="center" vertical="center" wrapText="1"/>
    </xf>
    <xf numFmtId="0" fontId="43" fillId="5" borderId="6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 wrapText="1"/>
    </xf>
    <xf numFmtId="0" fontId="21" fillId="15" borderId="56" xfId="0" applyFont="1" applyFill="1" applyBorder="1" applyAlignment="1">
      <alignment horizontal="center" vertical="center" wrapText="1"/>
    </xf>
    <xf numFmtId="0" fontId="21" fillId="15" borderId="77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6" fillId="0" borderId="72" xfId="0" quotePrefix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6" borderId="82" xfId="0" applyFont="1" applyFill="1" applyBorder="1" applyAlignment="1">
      <alignment horizontal="center" vertical="center"/>
    </xf>
    <xf numFmtId="0" fontId="21" fillId="0" borderId="7" xfId="0" quotePrefix="1" applyFont="1" applyBorder="1" applyAlignment="1">
      <alignment horizontal="center" vertical="center"/>
    </xf>
    <xf numFmtId="0" fontId="21" fillId="0" borderId="37" xfId="0" quotePrefix="1" applyFont="1" applyBorder="1" applyAlignment="1">
      <alignment horizontal="center" vertical="center"/>
    </xf>
    <xf numFmtId="0" fontId="21" fillId="0" borderId="11" xfId="0" quotePrefix="1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6" borderId="77" xfId="0" applyFont="1" applyFill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6" borderId="83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 wrapText="1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14" borderId="56" xfId="0" applyFont="1" applyFill="1" applyBorder="1" applyAlignment="1">
      <alignment horizontal="center" vertical="center"/>
    </xf>
    <xf numFmtId="0" fontId="37" fillId="14" borderId="7" xfId="0" applyFont="1" applyFill="1" applyBorder="1" applyAlignment="1">
      <alignment horizontal="center" vertical="center"/>
    </xf>
    <xf numFmtId="0" fontId="37" fillId="12" borderId="11" xfId="0" applyFont="1" applyFill="1" applyBorder="1" applyAlignment="1">
      <alignment horizontal="center" vertical="center"/>
    </xf>
    <xf numFmtId="0" fontId="37" fillId="12" borderId="19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14" borderId="37" xfId="0" applyFont="1" applyFill="1" applyBorder="1" applyAlignment="1">
      <alignment horizontal="center" vertical="center"/>
    </xf>
    <xf numFmtId="0" fontId="37" fillId="12" borderId="37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14" borderId="9" xfId="0" quotePrefix="1" applyFont="1" applyFill="1" applyBorder="1" applyAlignment="1">
      <alignment horizontal="center" vertical="center" wrapText="1"/>
    </xf>
    <xf numFmtId="0" fontId="21" fillId="12" borderId="7" xfId="0" quotePrefix="1" applyFont="1" applyFill="1" applyBorder="1" applyAlignment="1">
      <alignment horizontal="center" vertical="center" wrapText="1"/>
    </xf>
    <xf numFmtId="0" fontId="21" fillId="6" borderId="55" xfId="0" applyFont="1" applyFill="1" applyBorder="1" applyAlignment="1">
      <alignment horizontal="center" vertical="center"/>
    </xf>
    <xf numFmtId="0" fontId="21" fillId="0" borderId="57" xfId="0" quotePrefix="1" applyFont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wrapText="1"/>
    </xf>
    <xf numFmtId="0" fontId="22" fillId="16" borderId="39" xfId="0" applyFont="1" applyFill="1" applyBorder="1" applyAlignment="1">
      <alignment horizontal="center" vertical="center"/>
    </xf>
    <xf numFmtId="0" fontId="44" fillId="0" borderId="39" xfId="0" applyFont="1" applyBorder="1" applyProtection="1">
      <protection locked="0"/>
    </xf>
    <xf numFmtId="0" fontId="45" fillId="0" borderId="39" xfId="0" applyFont="1" applyBorder="1" applyProtection="1">
      <protection locked="0"/>
    </xf>
    <xf numFmtId="0" fontId="44" fillId="5" borderId="39" xfId="0" applyFont="1" applyFill="1" applyBorder="1" applyProtection="1">
      <protection locked="0"/>
    </xf>
    <xf numFmtId="0" fontId="45" fillId="17" borderId="39" xfId="0" applyFont="1" applyFill="1" applyBorder="1" applyProtection="1">
      <protection locked="0"/>
    </xf>
    <xf numFmtId="0" fontId="44" fillId="15" borderId="39" xfId="0" applyFont="1" applyFill="1" applyBorder="1" applyProtection="1">
      <protection locked="0"/>
    </xf>
    <xf numFmtId="0" fontId="36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5" borderId="2" xfId="1" applyFont="1" applyFill="1" applyBorder="1" applyAlignment="1">
      <alignment horizontal="center" vertical="center" wrapText="1"/>
    </xf>
    <xf numFmtId="0" fontId="37" fillId="5" borderId="3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37" fillId="7" borderId="2" xfId="1" applyFont="1" applyFill="1" applyBorder="1" applyAlignment="1">
      <alignment horizontal="center" vertical="center" wrapText="1"/>
    </xf>
    <xf numFmtId="0" fontId="37" fillId="7" borderId="3" xfId="1" applyFont="1" applyFill="1" applyBorder="1" applyAlignment="1">
      <alignment horizontal="center" vertical="center" wrapText="1"/>
    </xf>
    <xf numFmtId="0" fontId="37" fillId="7" borderId="4" xfId="1" applyFont="1" applyFill="1" applyBorder="1" applyAlignment="1">
      <alignment horizontal="center" vertical="center" wrapText="1"/>
    </xf>
    <xf numFmtId="0" fontId="38" fillId="9" borderId="2" xfId="1" applyFont="1" applyFill="1" applyBorder="1" applyAlignment="1">
      <alignment horizontal="center" vertical="center" wrapText="1"/>
    </xf>
    <xf numFmtId="0" fontId="38" fillId="9" borderId="3" xfId="1" applyFont="1" applyFill="1" applyBorder="1" applyAlignment="1">
      <alignment horizontal="center" vertical="center" wrapText="1"/>
    </xf>
    <xf numFmtId="0" fontId="38" fillId="9" borderId="4" xfId="1" applyFont="1" applyFill="1" applyBorder="1" applyAlignment="1">
      <alignment horizontal="center" vertical="center" wrapText="1"/>
    </xf>
    <xf numFmtId="49" fontId="37" fillId="8" borderId="2" xfId="1" applyNumberFormat="1" applyFont="1" applyFill="1" applyBorder="1" applyAlignment="1">
      <alignment horizontal="center" vertical="center" wrapText="1"/>
    </xf>
    <xf numFmtId="49" fontId="37" fillId="8" borderId="3" xfId="1" applyNumberFormat="1" applyFont="1" applyFill="1" applyBorder="1" applyAlignment="1">
      <alignment horizontal="center" vertical="center" wrapText="1"/>
    </xf>
    <xf numFmtId="49" fontId="37" fillId="8" borderId="4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3" fillId="5" borderId="2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69" xfId="0" applyFont="1" applyFill="1" applyBorder="1" applyAlignment="1">
      <alignment horizontal="center" vertical="center" wrapText="1"/>
    </xf>
    <xf numFmtId="164" fontId="31" fillId="8" borderId="2" xfId="0" applyNumberFormat="1" applyFont="1" applyFill="1" applyBorder="1" applyAlignment="1">
      <alignment horizontal="center" vertical="center" wrapText="1"/>
    </xf>
    <xf numFmtId="164" fontId="31" fillId="8" borderId="3" xfId="0" applyNumberFormat="1" applyFont="1" applyFill="1" applyBorder="1" applyAlignment="1">
      <alignment horizontal="center" vertical="center" wrapText="1"/>
    </xf>
    <xf numFmtId="164" fontId="31" fillId="8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33CC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66FF33"/>
      <color rgb="FFD7E4BC"/>
      <color rgb="FFD6DCE4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130628</xdr:colOff>
      <xdr:row>8</xdr:row>
      <xdr:rowOff>12246</xdr:rowOff>
    </xdr:from>
    <xdr:ext cx="8926162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54478" y="1317171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2024.25</a:t>
          </a:r>
        </a:p>
      </xdr:txBody>
    </xdr:sp>
    <xdr:clientData/>
  </xdr:oneCellAnchor>
  <xdr:oneCellAnchor>
    <xdr:from>
      <xdr:col>2</xdr:col>
      <xdr:colOff>62175</xdr:colOff>
      <xdr:row>17</xdr:row>
      <xdr:rowOff>68035</xdr:rowOff>
    </xdr:from>
    <xdr:ext cx="5188856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586175" y="2901723"/>
          <a:ext cx="51888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journée   ALISSAS</a:t>
          </a:r>
        </a:p>
      </xdr:txBody>
    </xdr:sp>
    <xdr:clientData/>
  </xdr:oneCellAnchor>
  <xdr:oneCellAnchor>
    <xdr:from>
      <xdr:col>4</xdr:col>
      <xdr:colOff>27214</xdr:colOff>
      <xdr:row>29</xdr:row>
      <xdr:rowOff>95250</xdr:rowOff>
    </xdr:from>
    <xdr:ext cx="1601272" cy="1344663"/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075214" y="4830536"/>
          <a:ext cx="1601272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M3</a:t>
          </a:r>
        </a:p>
      </xdr:txBody>
    </xdr:sp>
    <xdr:clientData/>
  </xdr:oneCellAnchor>
  <xdr:oneCellAnchor>
    <xdr:from>
      <xdr:col>4</xdr:col>
      <xdr:colOff>449634</xdr:colOff>
      <xdr:row>1</xdr:row>
      <xdr:rowOff>28576</xdr:rowOff>
    </xdr:from>
    <xdr:ext cx="2445966" cy="904874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497634" y="190501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  <xdr:twoCellAnchor editAs="oneCell">
    <xdr:from>
      <xdr:col>10</xdr:col>
      <xdr:colOff>419100</xdr:colOff>
      <xdr:row>0</xdr:row>
      <xdr:rowOff>152400</xdr:rowOff>
    </xdr:from>
    <xdr:to>
      <xdr:col>11</xdr:col>
      <xdr:colOff>333375</xdr:colOff>
      <xdr:row>6</xdr:row>
      <xdr:rowOff>92514</xdr:rowOff>
    </xdr:to>
    <xdr:pic>
      <xdr:nvPicPr>
        <xdr:cNvPr id="6" name="Image 5" descr="cbd07a - Copi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2950" y="152400"/>
          <a:ext cx="676275" cy="911664"/>
        </a:xfrm>
        <a:prstGeom prst="rect">
          <a:avLst/>
        </a:prstGeom>
      </xdr:spPr>
    </xdr:pic>
    <xdr:clientData/>
  </xdr:twoCellAnchor>
  <xdr:oneCellAnchor>
    <xdr:from>
      <xdr:col>3</xdr:col>
      <xdr:colOff>549811</xdr:colOff>
      <xdr:row>25</xdr:row>
      <xdr:rowOff>539</xdr:rowOff>
    </xdr:from>
    <xdr:ext cx="2453236" cy="655885"/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835811" y="4167727"/>
          <a:ext cx="2453236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14/09/2024</a:t>
          </a:r>
        </a:p>
      </xdr:txBody>
    </xdr:sp>
    <xdr:clientData/>
  </xdr:oneCellAnchor>
  <xdr:twoCellAnchor editAs="oneCell">
    <xdr:from>
      <xdr:col>0</xdr:col>
      <xdr:colOff>409575</xdr:colOff>
      <xdr:row>0</xdr:row>
      <xdr:rowOff>76200</xdr:rowOff>
    </xdr:from>
    <xdr:to>
      <xdr:col>1</xdr:col>
      <xdr:colOff>619575</xdr:colOff>
      <xdr:row>6</xdr:row>
      <xdr:rowOff>76922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972000" cy="9722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4"/>
  <sheetViews>
    <sheetView zoomScale="80" zoomScaleNormal="80" zoomScaleSheetLayoutView="100" workbookViewId="0">
      <selection activeCell="I35" sqref="I35"/>
    </sheetView>
  </sheetViews>
  <sheetFormatPr baseColWidth="10" defaultRowHeight="12.75"/>
  <sheetData>
    <row r="1" spans="1:12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7"/>
    </row>
    <row r="2" spans="1:12">
      <c r="A2" s="168"/>
      <c r="L2" s="169"/>
    </row>
    <row r="3" spans="1:12">
      <c r="A3" s="168"/>
      <c r="L3" s="169"/>
    </row>
    <row r="4" spans="1:12">
      <c r="A4" s="168"/>
      <c r="L4" s="169"/>
    </row>
    <row r="5" spans="1:12">
      <c r="A5" s="168"/>
      <c r="L5" s="169"/>
    </row>
    <row r="6" spans="1:12">
      <c r="A6" s="168"/>
      <c r="L6" s="169"/>
    </row>
    <row r="7" spans="1:12">
      <c r="A7" s="168"/>
      <c r="L7" s="169"/>
    </row>
    <row r="8" spans="1:12">
      <c r="A8" s="168"/>
      <c r="L8" s="169"/>
    </row>
    <row r="9" spans="1:12">
      <c r="A9" s="168"/>
      <c r="L9" s="169"/>
    </row>
    <row r="10" spans="1:12">
      <c r="A10" s="168"/>
      <c r="L10" s="169"/>
    </row>
    <row r="11" spans="1:12">
      <c r="A11" s="168"/>
      <c r="L11" s="169"/>
    </row>
    <row r="12" spans="1:12">
      <c r="A12" s="168"/>
      <c r="L12" s="169"/>
    </row>
    <row r="13" spans="1:12">
      <c r="A13" s="168"/>
      <c r="L13" s="169"/>
    </row>
    <row r="14" spans="1:12">
      <c r="A14" s="168"/>
      <c r="L14" s="169"/>
    </row>
    <row r="15" spans="1:12">
      <c r="A15" s="168"/>
      <c r="L15" s="169"/>
    </row>
    <row r="16" spans="1:12">
      <c r="A16" s="168"/>
      <c r="L16" s="169"/>
    </row>
    <row r="17" spans="1:12">
      <c r="A17" s="168"/>
      <c r="L17" s="169"/>
    </row>
    <row r="18" spans="1:12">
      <c r="A18" s="168"/>
      <c r="L18" s="169"/>
    </row>
    <row r="19" spans="1:12">
      <c r="A19" s="168"/>
      <c r="L19" s="169"/>
    </row>
    <row r="20" spans="1:12">
      <c r="A20" s="168"/>
      <c r="L20" s="169"/>
    </row>
    <row r="21" spans="1:12">
      <c r="A21" s="168"/>
      <c r="L21" s="169"/>
    </row>
    <row r="22" spans="1:12">
      <c r="A22" s="168"/>
      <c r="L22" s="169"/>
    </row>
    <row r="23" spans="1:12">
      <c r="A23" s="168"/>
      <c r="L23" s="169"/>
    </row>
    <row r="24" spans="1:12">
      <c r="A24" s="168"/>
      <c r="L24" s="169"/>
    </row>
    <row r="25" spans="1:12">
      <c r="A25" s="168"/>
      <c r="L25" s="169"/>
    </row>
    <row r="26" spans="1:12" ht="12.75" customHeight="1">
      <c r="A26" s="168"/>
      <c r="D26" s="404"/>
      <c r="E26" s="404"/>
      <c r="F26" s="404"/>
      <c r="G26" s="404"/>
      <c r="H26" s="404"/>
      <c r="L26" s="169"/>
    </row>
    <row r="27" spans="1:12" ht="12.75" customHeight="1">
      <c r="A27" s="168"/>
      <c r="D27" s="404"/>
      <c r="E27" s="404"/>
      <c r="F27" s="404"/>
      <c r="G27" s="404"/>
      <c r="H27" s="404"/>
      <c r="L27" s="169"/>
    </row>
    <row r="28" spans="1:12">
      <c r="A28" s="168"/>
      <c r="L28" s="169"/>
    </row>
    <row r="29" spans="1:12">
      <c r="A29" s="168"/>
      <c r="L29" s="169"/>
    </row>
    <row r="30" spans="1:12">
      <c r="A30" s="168"/>
      <c r="L30" s="169"/>
    </row>
    <row r="31" spans="1:12">
      <c r="A31" s="168"/>
      <c r="L31" s="169"/>
    </row>
    <row r="32" spans="1:12">
      <c r="A32" s="168"/>
      <c r="L32" s="169"/>
    </row>
    <row r="33" spans="1:12">
      <c r="A33" s="168"/>
      <c r="L33" s="169"/>
    </row>
    <row r="34" spans="1:12">
      <c r="A34" s="168"/>
      <c r="L34" s="169"/>
    </row>
    <row r="35" spans="1:12">
      <c r="A35" s="168"/>
      <c r="L35" s="169"/>
    </row>
    <row r="36" spans="1:12">
      <c r="A36" s="168"/>
      <c r="L36" s="169"/>
    </row>
    <row r="37" spans="1:12">
      <c r="A37" s="168"/>
      <c r="L37" s="169"/>
    </row>
    <row r="38" spans="1:12">
      <c r="A38" s="168"/>
      <c r="L38" s="169"/>
    </row>
    <row r="39" spans="1:12">
      <c r="A39" s="168"/>
      <c r="L39" s="169"/>
    </row>
    <row r="40" spans="1:12">
      <c r="A40" s="168"/>
      <c r="L40" s="169"/>
    </row>
    <row r="41" spans="1:12">
      <c r="A41" s="168"/>
      <c r="L41" s="169"/>
    </row>
    <row r="42" spans="1:12">
      <c r="A42" s="168"/>
      <c r="L42" s="169"/>
    </row>
    <row r="43" spans="1:12">
      <c r="A43" s="168"/>
      <c r="L43" s="169"/>
    </row>
    <row r="44" spans="1:12" ht="13.5" thickBo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2"/>
    </row>
  </sheetData>
  <sheetProtection sheet="1" objects="1" scenarios="1"/>
  <mergeCells count="1">
    <mergeCell ref="D26:H27"/>
  </mergeCells>
  <pageMargins left="0.46" right="0.23" top="0.2" bottom="0.24" header="0.13" footer="0.1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23"/>
  <sheetViews>
    <sheetView workbookViewId="0">
      <selection activeCell="B13" sqref="B13"/>
    </sheetView>
  </sheetViews>
  <sheetFormatPr baseColWidth="10" defaultRowHeight="12.75"/>
  <cols>
    <col min="1" max="1" width="13.85546875" customWidth="1"/>
  </cols>
  <sheetData>
    <row r="1" spans="1:7" ht="26.25">
      <c r="A1" s="405" t="s">
        <v>69</v>
      </c>
      <c r="B1" s="405"/>
      <c r="C1" s="405"/>
      <c r="D1" s="405"/>
      <c r="E1" s="405"/>
      <c r="F1" s="405"/>
      <c r="G1" s="405"/>
    </row>
    <row r="2" spans="1:7" ht="20.25">
      <c r="A2" s="173"/>
      <c r="B2" s="174"/>
      <c r="C2" s="174"/>
      <c r="D2" s="174"/>
      <c r="E2" s="174"/>
      <c r="F2" s="175"/>
      <c r="G2" s="175"/>
    </row>
    <row r="3" spans="1:7" ht="20.25">
      <c r="A3" s="173" t="s">
        <v>70</v>
      </c>
      <c r="B3" s="174"/>
      <c r="C3" s="174"/>
      <c r="D3" s="174"/>
      <c r="E3" s="174"/>
      <c r="F3" s="175"/>
      <c r="G3" s="175"/>
    </row>
    <row r="4" spans="1:7" ht="20.25">
      <c r="A4" s="173">
        <v>1</v>
      </c>
      <c r="B4" s="174" t="s">
        <v>71</v>
      </c>
      <c r="C4" s="174"/>
      <c r="D4" s="174"/>
      <c r="E4" s="174"/>
      <c r="F4" s="175"/>
      <c r="G4" s="175"/>
    </row>
    <row r="5" spans="1:7" ht="20.25">
      <c r="A5" s="173"/>
      <c r="B5" s="174"/>
      <c r="C5" s="174"/>
      <c r="D5" s="174"/>
      <c r="E5" s="174"/>
      <c r="F5" s="175"/>
      <c r="G5" s="175"/>
    </row>
    <row r="6" spans="1:7" ht="20.25">
      <c r="A6" s="173">
        <v>2</v>
      </c>
      <c r="B6" s="174" t="s">
        <v>72</v>
      </c>
      <c r="C6" s="174"/>
      <c r="D6" s="174"/>
      <c r="E6" s="174"/>
      <c r="F6" s="175"/>
      <c r="G6" s="175"/>
    </row>
    <row r="7" spans="1:7" ht="20.25">
      <c r="A7" s="173"/>
      <c r="B7" s="174"/>
      <c r="C7" s="174"/>
      <c r="D7" s="174"/>
      <c r="E7" s="174"/>
      <c r="F7" s="175"/>
      <c r="G7" s="175"/>
    </row>
    <row r="8" spans="1:7" ht="20.25">
      <c r="A8" s="173">
        <v>3</v>
      </c>
      <c r="B8" s="174" t="s">
        <v>73</v>
      </c>
      <c r="C8" s="174"/>
      <c r="D8" s="174"/>
      <c r="E8" s="174"/>
      <c r="F8" s="175"/>
      <c r="G8" s="175"/>
    </row>
    <row r="9" spans="1:7" ht="20.25">
      <c r="A9" s="173"/>
      <c r="B9" s="174" t="s">
        <v>74</v>
      </c>
      <c r="C9" s="174"/>
      <c r="D9" s="174"/>
      <c r="E9" s="174"/>
      <c r="F9" s="175"/>
      <c r="G9" s="175"/>
    </row>
    <row r="10" spans="1:7" ht="20.25">
      <c r="A10" s="173"/>
      <c r="B10" s="174" t="s">
        <v>75</v>
      </c>
      <c r="C10" s="174"/>
      <c r="D10" s="174"/>
      <c r="E10" s="174"/>
      <c r="F10" s="175"/>
      <c r="G10" s="175"/>
    </row>
    <row r="11" spans="1:7" ht="20.25">
      <c r="A11" s="173"/>
      <c r="B11" s="174"/>
      <c r="C11" s="174"/>
      <c r="D11" s="174"/>
      <c r="E11" s="174"/>
      <c r="F11" s="175"/>
      <c r="G11" s="175"/>
    </row>
    <row r="12" spans="1:7" ht="20.25">
      <c r="A12" s="173" t="s">
        <v>76</v>
      </c>
      <c r="B12" s="174" t="s">
        <v>95</v>
      </c>
      <c r="C12" s="174"/>
      <c r="D12" s="174"/>
      <c r="E12" s="174"/>
      <c r="F12" s="175"/>
      <c r="G12" s="175"/>
    </row>
    <row r="13" spans="1:7" ht="20.25">
      <c r="A13" s="173"/>
      <c r="B13" s="174" t="s">
        <v>96</v>
      </c>
      <c r="C13" s="174"/>
      <c r="D13" s="174"/>
      <c r="E13" s="174"/>
      <c r="F13" s="175"/>
      <c r="G13" s="175"/>
    </row>
    <row r="14" spans="1:7" ht="20.25">
      <c r="A14" s="173"/>
      <c r="B14" s="174"/>
      <c r="C14" s="174"/>
      <c r="D14" s="174"/>
      <c r="E14" s="174"/>
      <c r="F14" s="175"/>
      <c r="G14" s="175"/>
    </row>
    <row r="15" spans="1:7" ht="20.25">
      <c r="A15" s="173" t="s">
        <v>77</v>
      </c>
      <c r="B15" s="174" t="s">
        <v>78</v>
      </c>
      <c r="C15" s="174"/>
      <c r="D15" s="174"/>
      <c r="E15" s="174"/>
      <c r="F15" s="175"/>
      <c r="G15" s="175"/>
    </row>
    <row r="16" spans="1:7" ht="20.25">
      <c r="A16" s="173"/>
      <c r="B16" s="174" t="s">
        <v>79</v>
      </c>
      <c r="C16" s="174"/>
      <c r="D16" s="174"/>
      <c r="E16" s="174"/>
      <c r="F16" s="175"/>
      <c r="G16" s="175"/>
    </row>
    <row r="17" spans="1:7" ht="20.25">
      <c r="A17" s="173"/>
      <c r="B17" s="174" t="s">
        <v>80</v>
      </c>
      <c r="C17" s="174"/>
      <c r="D17" s="174"/>
      <c r="E17" s="174"/>
      <c r="F17" s="175"/>
      <c r="G17" s="175"/>
    </row>
    <row r="18" spans="1:7" ht="20.25">
      <c r="A18" s="173"/>
      <c r="B18" s="174" t="s">
        <v>81</v>
      </c>
      <c r="C18" s="174"/>
      <c r="D18" s="174"/>
      <c r="E18" s="174"/>
      <c r="F18" s="175"/>
      <c r="G18" s="175"/>
    </row>
    <row r="19" spans="1:7" ht="20.25">
      <c r="A19" s="173"/>
      <c r="B19" s="174" t="s">
        <v>82</v>
      </c>
      <c r="C19" s="174"/>
      <c r="D19" s="174"/>
      <c r="E19" s="174"/>
      <c r="F19" s="175"/>
      <c r="G19" s="175"/>
    </row>
    <row r="20" spans="1:7" ht="20.25">
      <c r="A20" s="173"/>
      <c r="B20" s="174"/>
      <c r="C20" s="174"/>
      <c r="D20" s="174"/>
      <c r="E20" s="174"/>
      <c r="F20" s="175"/>
      <c r="G20" s="175"/>
    </row>
    <row r="21" spans="1:7" ht="20.25">
      <c r="A21" s="173" t="s">
        <v>83</v>
      </c>
      <c r="B21" s="174" t="s">
        <v>84</v>
      </c>
      <c r="C21" s="174"/>
      <c r="D21" s="174"/>
      <c r="E21" s="174"/>
      <c r="F21" s="175"/>
      <c r="G21" s="175"/>
    </row>
    <row r="22" spans="1:7" ht="20.25">
      <c r="A22" s="176"/>
      <c r="B22" s="174" t="s">
        <v>85</v>
      </c>
      <c r="C22" s="175"/>
      <c r="D22" s="175"/>
      <c r="E22" s="175"/>
      <c r="F22" s="175"/>
      <c r="G22" s="175"/>
    </row>
    <row r="23" spans="1:7" ht="15">
      <c r="A23" s="176"/>
      <c r="B23" s="175"/>
      <c r="C23" s="175"/>
      <c r="D23" s="175"/>
      <c r="E23" s="175"/>
      <c r="F23" s="175"/>
      <c r="G23" s="175"/>
    </row>
  </sheetData>
  <sheetProtection sheet="1" objects="1" scenarios="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7"/>
  <sheetViews>
    <sheetView workbookViewId="0">
      <selection activeCell="D20" sqref="D20"/>
    </sheetView>
  </sheetViews>
  <sheetFormatPr baseColWidth="10" defaultColWidth="11.42578125" defaultRowHeight="15.75"/>
  <cols>
    <col min="1" max="1" width="7.28515625" style="143" customWidth="1"/>
    <col min="2" max="2" width="24.42578125" style="143" customWidth="1"/>
    <col min="3" max="3" width="24.28515625" style="143" customWidth="1"/>
    <col min="4" max="4" width="12.85546875" style="143" customWidth="1"/>
    <col min="5" max="5" width="15.85546875" style="143" bestFit="1" customWidth="1"/>
    <col min="6" max="6" width="8.28515625" style="142" customWidth="1"/>
    <col min="7" max="16384" width="11.42578125" style="143"/>
  </cols>
  <sheetData>
    <row r="1" spans="1:6" ht="39" customHeight="1">
      <c r="A1" s="177" t="s">
        <v>50</v>
      </c>
      <c r="B1" s="177" t="s">
        <v>52</v>
      </c>
      <c r="C1" s="177" t="s">
        <v>51</v>
      </c>
      <c r="D1" s="177" t="s">
        <v>65</v>
      </c>
      <c r="E1" s="178" t="s">
        <v>68</v>
      </c>
      <c r="F1" s="147"/>
    </row>
    <row r="2" spans="1:6" ht="18.75">
      <c r="A2" s="144">
        <v>1</v>
      </c>
      <c r="B2" s="400" t="s">
        <v>104</v>
      </c>
      <c r="C2" s="398" t="s">
        <v>105</v>
      </c>
      <c r="D2" s="144">
        <v>15</v>
      </c>
      <c r="E2" s="342">
        <f>SUM(IFERROR(VLOOKUP(B2,'1A_G'!$AY$7:$AZ$14,2,0),0),IFERROR(VLOOKUP(B2,'1A_G'!$AY$18:$AZ$30,2,0),0),IFERROR(VLOOKUP(B2,'1A_F'!$T$7:$V$14,3,0),0),IFERROR(VLOOKUP(B2,'1A_F'!$W$8:$Y$13,3,0),0),IFERROR(VLOOKUP(B2,'1A_F'!$Z$10:$AB$11,3,0),0))</f>
        <v>0</v>
      </c>
    </row>
    <row r="3" spans="1:6" ht="18.75">
      <c r="A3" s="144">
        <v>2</v>
      </c>
      <c r="B3" s="398" t="s">
        <v>106</v>
      </c>
      <c r="C3" s="399" t="s">
        <v>107</v>
      </c>
      <c r="D3" s="144">
        <v>17</v>
      </c>
      <c r="E3" s="342">
        <f>SUM(IFERROR(VLOOKUP(B3,'1A_G'!$AY$7:$AZ$14,2,0),0),IFERROR(VLOOKUP(B3,'1A_G'!$AY$18:$AZ$30,2,0),0),IFERROR(VLOOKUP(B3,'1A_F'!$T$7:$V$14,3,0),0),IFERROR(VLOOKUP(B3,'1A_F'!$W$8:$Y$13,3,0),0),IFERROR(VLOOKUP(B3,'1A_F'!$Z$10:$AB$11,3,0),0))</f>
        <v>0</v>
      </c>
    </row>
    <row r="4" spans="1:6" ht="18.75">
      <c r="A4" s="144">
        <v>3</v>
      </c>
      <c r="B4" s="401" t="s">
        <v>108</v>
      </c>
      <c r="C4" s="398" t="s">
        <v>109</v>
      </c>
      <c r="D4" s="144">
        <v>9</v>
      </c>
      <c r="E4" s="342">
        <f>SUM(IFERROR(VLOOKUP(B4,'1A_G'!$AY$7:$AZ$14,2,0),0),IFERROR(VLOOKUP(B4,'1A_G'!$AY$18:$AZ$30,2,0),0),IFERROR(VLOOKUP(B4,'1A_F'!$T$7:$V$14,3,0),0),IFERROR(VLOOKUP(B4,'1A_F'!$W$8:$Y$13,3,0),0),IFERROR(VLOOKUP(B4,'1A_F'!$Z$10:$AB$11,3,0),0))</f>
        <v>0</v>
      </c>
    </row>
    <row r="5" spans="1:6" ht="18.75">
      <c r="A5" s="144">
        <v>4</v>
      </c>
      <c r="B5" s="398" t="s">
        <v>110</v>
      </c>
      <c r="C5" s="398" t="s">
        <v>111</v>
      </c>
      <c r="D5" s="144">
        <v>8</v>
      </c>
      <c r="E5" s="342">
        <f>SUM(IFERROR(VLOOKUP(B5,'1A_G'!$AY$7:$AZ$14,2,0),0),IFERROR(VLOOKUP(B5,'1A_G'!$AY$18:$AZ$30,2,0),0),IFERROR(VLOOKUP(B5,'1A_F'!$T$7:$V$14,3,0),0),IFERROR(VLOOKUP(B5,'1A_F'!$W$8:$Y$13,3,0),0),IFERROR(VLOOKUP(B5,'1A_F'!$Z$10:$AB$11,3,0),0))</f>
        <v>0</v>
      </c>
    </row>
    <row r="6" spans="1:6" ht="18.75">
      <c r="A6" s="144">
        <v>5</v>
      </c>
      <c r="B6" s="398" t="s">
        <v>112</v>
      </c>
      <c r="C6" s="399" t="s">
        <v>113</v>
      </c>
      <c r="D6" s="144">
        <v>7</v>
      </c>
      <c r="E6" s="342">
        <f>SUM(IFERROR(VLOOKUP(B6,'1A_G'!$AY$7:$AZ$14,2,0),0),IFERROR(VLOOKUP(B6,'1A_G'!$AY$18:$AZ$30,2,0),0),IFERROR(VLOOKUP(B6,'1A_F'!$T$7:$V$14,3,0),0),IFERROR(VLOOKUP(B6,'1A_F'!$W$8:$Y$13,3,0),0),IFERROR(VLOOKUP(B6,'1A_F'!$Z$10:$AB$11,3,0),0))</f>
        <v>0</v>
      </c>
    </row>
    <row r="7" spans="1:6" ht="18.75">
      <c r="A7" s="144">
        <v>6</v>
      </c>
      <c r="B7" s="398" t="s">
        <v>114</v>
      </c>
      <c r="C7" s="398" t="s">
        <v>115</v>
      </c>
      <c r="D7" s="144">
        <v>3</v>
      </c>
      <c r="E7" s="342">
        <f>SUM(IFERROR(VLOOKUP(B7,'1A_G'!$AY$7:$AZ$14,2,0),0),IFERROR(VLOOKUP(B7,'1A_G'!$AY$18:$AZ$30,2,0),0),IFERROR(VLOOKUP(B7,'1A_F'!$T$7:$V$14,3,0),0),IFERROR(VLOOKUP(B7,'1A_F'!$W$8:$Y$13,3,0),0),IFERROR(VLOOKUP(B7,'1A_F'!$Z$10:$AB$11,3,0),0))</f>
        <v>0</v>
      </c>
    </row>
    <row r="8" spans="1:6" ht="18.75">
      <c r="A8" s="144">
        <v>7</v>
      </c>
      <c r="B8" s="402" t="s">
        <v>116</v>
      </c>
      <c r="C8" s="399" t="s">
        <v>117</v>
      </c>
      <c r="D8" s="144">
        <v>11</v>
      </c>
      <c r="E8" s="342">
        <f>SUM(IFERROR(VLOOKUP(B8,'1A_G'!$AY$7:$AZ$14,2,0),0),IFERROR(VLOOKUP(B8,'1A_G'!$AY$18:$AZ$30,2,0),0),IFERROR(VLOOKUP(B8,'1A_F'!$T$7:$V$14,3,0),0),IFERROR(VLOOKUP(B8,'1A_F'!$W$8:$Y$13,3,0),0),IFERROR(VLOOKUP(B8,'1A_F'!$Z$10:$AB$11,3,0),0))</f>
        <v>0</v>
      </c>
    </row>
    <row r="9" spans="1:6" ht="18.75">
      <c r="A9" s="144">
        <v>8</v>
      </c>
      <c r="B9" s="398" t="s">
        <v>118</v>
      </c>
      <c r="C9" s="399" t="s">
        <v>119</v>
      </c>
      <c r="D9" s="144">
        <v>6</v>
      </c>
      <c r="E9" s="342">
        <f>SUM(IFERROR(VLOOKUP(B9,'1A_G'!$AY$7:$AZ$14,2,0),0),IFERROR(VLOOKUP(B9,'1A_G'!$AY$18:$AZ$30,2,0),0),IFERROR(VLOOKUP(B9,'1A_F'!$T$7:$V$14,3,0),0),IFERROR(VLOOKUP(B9,'1A_F'!$W$8:$Y$13,3,0),0),IFERROR(VLOOKUP(B9,'1A_F'!$Z$10:$AB$11,3,0),0))</f>
        <v>0</v>
      </c>
    </row>
    <row r="10" spans="1:6" ht="18.75">
      <c r="A10" s="144">
        <v>9</v>
      </c>
      <c r="B10" s="398" t="s">
        <v>120</v>
      </c>
      <c r="C10" s="398" t="s">
        <v>137</v>
      </c>
      <c r="D10" s="144">
        <v>19</v>
      </c>
      <c r="E10" s="342">
        <f>SUM(IFERROR(VLOOKUP(B10,'1A_G'!$AY$7:$AZ$14,2,0),0),IFERROR(VLOOKUP(B10,'1A_G'!$AY$18:$AZ$30,2,0),0),IFERROR(VLOOKUP(B10,'1A_F'!$T$7:$V$14,3,0),0),IFERROR(VLOOKUP(B10,'1A_F'!$W$8:$Y$13,3,0),0),IFERROR(VLOOKUP(B10,'1A_F'!$Z$10:$AB$11,3,0),0))</f>
        <v>0</v>
      </c>
    </row>
    <row r="11" spans="1:6" ht="18.75">
      <c r="A11" s="144">
        <v>10</v>
      </c>
      <c r="B11" s="402" t="s">
        <v>121</v>
      </c>
      <c r="C11" s="399" t="s">
        <v>117</v>
      </c>
      <c r="D11" s="144">
        <v>18</v>
      </c>
      <c r="E11" s="342">
        <f>SUM(IFERROR(VLOOKUP(B11,'1A_G'!$AY$7:$AZ$14,2,0),0),IFERROR(VLOOKUP(B11,'1A_G'!$AY$18:$AZ$30,2,0),0),IFERROR(VLOOKUP(B11,'1A_F'!$T$7:$V$14,3,0),0),IFERROR(VLOOKUP(B11,'1A_F'!$W$8:$Y$13,3,0),0),IFERROR(VLOOKUP(B11,'1A_F'!$Z$10:$AB$11,3,0),0))</f>
        <v>0</v>
      </c>
    </row>
    <row r="12" spans="1:6" ht="18.75">
      <c r="A12" s="144">
        <v>11</v>
      </c>
      <c r="B12" s="399" t="s">
        <v>122</v>
      </c>
      <c r="C12" s="399" t="s">
        <v>123</v>
      </c>
      <c r="D12" s="144">
        <v>12</v>
      </c>
      <c r="E12" s="342">
        <f>SUM(IFERROR(VLOOKUP(B12,'1A_G'!$AY$7:$AZ$14,2,0),0),IFERROR(VLOOKUP(B12,'1A_G'!$AY$18:$AZ$30,2,0),0),IFERROR(VLOOKUP(B12,'1A_F'!$T$7:$V$14,3,0),0),IFERROR(VLOOKUP(B12,'1A_F'!$W$8:$Y$13,3,0),0),IFERROR(VLOOKUP(B12,'1A_F'!$Z$10:$AB$11,3,0),0))</f>
        <v>0</v>
      </c>
    </row>
    <row r="13" spans="1:6" ht="18.75">
      <c r="A13" s="144">
        <v>12</v>
      </c>
      <c r="B13" s="399" t="s">
        <v>124</v>
      </c>
      <c r="C13" s="398" t="s">
        <v>125</v>
      </c>
      <c r="D13" s="144">
        <v>1</v>
      </c>
      <c r="E13" s="342">
        <f>SUM(IFERROR(VLOOKUP(B13,'1A_G'!$AY$7:$AZ$14,2,0),0),IFERROR(VLOOKUP(B13,'1A_G'!$AY$18:$AZ$30,2,0),0),IFERROR(VLOOKUP(B13,'1A_F'!$T$7:$V$14,3,0),0),IFERROR(VLOOKUP(B13,'1A_F'!$W$8:$Y$13,3,0),0),IFERROR(VLOOKUP(B13,'1A_F'!$Z$10:$AB$11,3,0),0))</f>
        <v>0</v>
      </c>
    </row>
    <row r="14" spans="1:6" ht="18.75">
      <c r="A14" s="144">
        <v>13</v>
      </c>
      <c r="B14" s="398" t="s">
        <v>126</v>
      </c>
      <c r="C14" s="398" t="s">
        <v>127</v>
      </c>
      <c r="D14" s="144">
        <v>16</v>
      </c>
      <c r="E14" s="342">
        <f>SUM(IFERROR(VLOOKUP(B14,'1A_G'!$AY$7:$AZ$14,2,0),0),IFERROR(VLOOKUP(B14,'1A_G'!$AY$18:$AZ$30,2,0),0),IFERROR(VLOOKUP(B14,'1A_F'!$T$7:$V$14,3,0),0),IFERROR(VLOOKUP(B14,'1A_F'!$W$8:$Y$13,3,0),0),IFERROR(VLOOKUP(B14,'1A_F'!$Z$10:$AB$11,3,0),0))</f>
        <v>0</v>
      </c>
    </row>
    <row r="15" spans="1:6" ht="18.75">
      <c r="A15" s="144">
        <v>14</v>
      </c>
      <c r="B15" s="398" t="s">
        <v>128</v>
      </c>
      <c r="C15" s="399" t="s">
        <v>129</v>
      </c>
      <c r="D15" s="144">
        <v>13</v>
      </c>
      <c r="E15" s="342">
        <f>SUM(IFERROR(VLOOKUP(B15,'1A_G'!$AY$7:$AZ$14,2,0),0),IFERROR(VLOOKUP(B15,'1A_G'!$AY$18:$AZ$30,2,0),0),IFERROR(VLOOKUP(B15,'1A_F'!$T$7:$V$14,3,0),0),IFERROR(VLOOKUP(B15,'1A_F'!$W$8:$Y$13,3,0),0),IFERROR(VLOOKUP(B15,'1A_F'!$Z$10:$AB$11,3,0),0))</f>
        <v>0</v>
      </c>
    </row>
    <row r="16" spans="1:6" ht="18.75">
      <c r="A16" s="144">
        <v>15</v>
      </c>
      <c r="B16" s="399" t="s">
        <v>130</v>
      </c>
      <c r="C16" s="398" t="s">
        <v>131</v>
      </c>
      <c r="D16" s="144">
        <v>4</v>
      </c>
      <c r="E16" s="342">
        <f>SUM(IFERROR(VLOOKUP(B16,'1A_G'!$AY$7:$AZ$14,2,0),0),IFERROR(VLOOKUP(B16,'1A_G'!$AY$18:$AZ$30,2,0),0),IFERROR(VLOOKUP(B16,'1A_F'!$T$7:$V$14,3,0),0),IFERROR(VLOOKUP(B16,'1A_F'!$W$8:$Y$13,3,0),0),IFERROR(VLOOKUP(B16,'1A_F'!$Z$10:$AB$11,3,0),0))</f>
        <v>0</v>
      </c>
    </row>
    <row r="17" spans="1:5" ht="18.75">
      <c r="A17" s="144">
        <v>16</v>
      </c>
      <c r="B17" s="400" t="s">
        <v>132</v>
      </c>
      <c r="C17" s="398" t="s">
        <v>133</v>
      </c>
      <c r="D17" s="144">
        <v>5</v>
      </c>
      <c r="E17" s="342">
        <f>SUM(IFERROR(VLOOKUP(B17,'1A_G'!$AY$7:$AZ$14,2,0),0),IFERROR(VLOOKUP(B17,'1A_G'!$AY$18:$AZ$30,2,0),0),IFERROR(VLOOKUP(B17,'1A_F'!$T$7:$V$14,3,0),0),IFERROR(VLOOKUP(B17,'1A_F'!$W$8:$Y$13,3,0),0),IFERROR(VLOOKUP(B17,'1A_F'!$Z$10:$AB$11,3,0),0))</f>
        <v>0</v>
      </c>
    </row>
    <row r="18" spans="1:5" ht="18.75">
      <c r="A18" s="144">
        <v>17</v>
      </c>
      <c r="B18" s="398" t="s">
        <v>134</v>
      </c>
      <c r="C18" s="399" t="s">
        <v>135</v>
      </c>
      <c r="D18" s="144">
        <v>10</v>
      </c>
      <c r="E18" s="342">
        <f>SUM(IFERROR(VLOOKUP(B18,'1A_G'!$AY$7:$AZ$14,2,0),0),IFERROR(VLOOKUP(B18,'1A_G'!$AY$18:$AZ$30,2,0),0),IFERROR(VLOOKUP(B18,'1A_F'!$T$7:$V$14,3,0),0),IFERROR(VLOOKUP(B18,'1A_F'!$W$8:$Y$13,3,0),0),IFERROR(VLOOKUP(B18,'1A_F'!$Z$10:$AB$11,3,0),0))</f>
        <v>0</v>
      </c>
    </row>
    <row r="19" spans="1:5" ht="18.75">
      <c r="A19" s="144">
        <v>18</v>
      </c>
      <c r="B19" s="401" t="s">
        <v>136</v>
      </c>
      <c r="C19" s="399" t="s">
        <v>109</v>
      </c>
      <c r="D19" s="144">
        <v>2</v>
      </c>
      <c r="E19" s="342">
        <f>SUM(IFERROR(VLOOKUP(B19,'1A_G'!$AY$7:$AZ$14,2,0),0),IFERROR(VLOOKUP(B19,'1A_G'!$AY$18:$AZ$30,2,0),0),IFERROR(VLOOKUP(B19,'1A_F'!$T$7:$V$14,3,0),0),IFERROR(VLOOKUP(B19,'1A_F'!$W$8:$Y$13,3,0),0),IFERROR(VLOOKUP(B19,'1A_F'!$Z$10:$AB$11,3,0),0))</f>
        <v>0</v>
      </c>
    </row>
    <row r="20" spans="1:5" ht="18.75">
      <c r="A20" s="144">
        <v>19</v>
      </c>
      <c r="B20" s="395" t="s">
        <v>86</v>
      </c>
      <c r="C20" s="396"/>
      <c r="D20" s="397">
        <v>14</v>
      </c>
      <c r="E20" s="342">
        <f>SUM(IFERROR(VLOOKUP(B20,'1A_G'!$AY$7:$AZ$14,2,0),0),IFERROR(VLOOKUP(B20,'1A_G'!$AY$18:$AZ$30,2,0),0),IFERROR(VLOOKUP(B20,'1A_F'!$T$7:$V$14,3,0),0),IFERROR(VLOOKUP(B20,'1A_F'!$W$8:$Y$13,3,0),0),IFERROR(VLOOKUP(B20,'1A_F'!$Z$10:$AB$11,3,0),0))</f>
        <v>0</v>
      </c>
    </row>
    <row r="21" spans="1:5" ht="18.75">
      <c r="A21" s="144">
        <v>20</v>
      </c>
      <c r="B21" s="395" t="s">
        <v>86</v>
      </c>
      <c r="C21" s="396"/>
      <c r="D21" s="397">
        <v>20</v>
      </c>
      <c r="E21" s="342">
        <f>SUM(IFERROR(VLOOKUP(B21,'1A_G'!$AY$7:$AZ$14,2,0),0),IFERROR(VLOOKUP(B21,'1A_G'!$AY$18:$AZ$30,2,0),0),IFERROR(VLOOKUP(B21,'1A_F'!$T$7:$V$14,3,0),0),IFERROR(VLOOKUP(B21,'1A_F'!$W$8:$Y$13,3,0),0),IFERROR(VLOOKUP(B21,'1A_F'!$Z$10:$AB$11,3,0),0))</f>
        <v>0</v>
      </c>
    </row>
    <row r="22" spans="1:5" ht="18">
      <c r="A22" s="145"/>
      <c r="B22" s="145"/>
      <c r="C22" s="145"/>
      <c r="D22" s="145"/>
      <c r="E22" s="147">
        <f>SUM(E2:E21)</f>
        <v>0</v>
      </c>
    </row>
    <row r="23" spans="1:5">
      <c r="A23" s="142" t="s">
        <v>139</v>
      </c>
      <c r="B23" s="142"/>
      <c r="C23" s="142"/>
      <c r="D23" s="142"/>
      <c r="E23" s="142"/>
    </row>
    <row r="24" spans="1:5" ht="18">
      <c r="A24" s="142"/>
      <c r="B24" s="142"/>
      <c r="C24" s="142"/>
      <c r="D24" s="142"/>
      <c r="E24" s="179">
        <v>31</v>
      </c>
    </row>
    <row r="25" spans="1:5">
      <c r="A25" s="142"/>
      <c r="B25" s="142"/>
      <c r="C25" s="142"/>
      <c r="D25" s="142"/>
      <c r="E25" s="142"/>
    </row>
    <row r="26" spans="1:5">
      <c r="A26" s="142"/>
      <c r="B26" s="142"/>
      <c r="C26" s="142"/>
      <c r="D26" s="142"/>
      <c r="E26" s="142"/>
    </row>
    <row r="27" spans="1:5">
      <c r="A27" s="142"/>
      <c r="B27" s="142"/>
      <c r="C27" s="142"/>
      <c r="D27" s="142"/>
      <c r="E27" s="142"/>
    </row>
    <row r="28" spans="1:5">
      <c r="A28" s="142"/>
      <c r="B28" s="142"/>
      <c r="C28" s="142"/>
      <c r="D28" s="142"/>
      <c r="E28" s="142"/>
    </row>
    <row r="29" spans="1:5">
      <c r="A29" s="142"/>
      <c r="B29" s="142"/>
      <c r="C29" s="142"/>
      <c r="D29" s="142" t="s">
        <v>64</v>
      </c>
      <c r="E29" s="142"/>
    </row>
    <row r="30" spans="1:5">
      <c r="A30" s="142"/>
      <c r="B30" s="142"/>
      <c r="C30" s="142"/>
      <c r="D30" s="142"/>
      <c r="E30" s="142"/>
    </row>
    <row r="31" spans="1:5">
      <c r="A31" s="142"/>
      <c r="B31" s="142"/>
      <c r="C31" s="142"/>
      <c r="D31" s="142"/>
      <c r="E31" s="142"/>
    </row>
    <row r="32" spans="1:5">
      <c r="A32" s="142"/>
      <c r="B32" s="142"/>
      <c r="C32" s="142"/>
      <c r="D32" s="142"/>
      <c r="E32" s="142"/>
    </row>
    <row r="33" spans="1:5">
      <c r="A33" s="142"/>
      <c r="B33" s="142"/>
      <c r="C33" s="142"/>
      <c r="D33" s="142"/>
      <c r="E33" s="142"/>
    </row>
    <row r="34" spans="1:5">
      <c r="A34" s="142"/>
      <c r="B34" s="142"/>
      <c r="C34" s="142"/>
      <c r="D34" s="142"/>
      <c r="E34" s="142"/>
    </row>
    <row r="35" spans="1:5">
      <c r="A35" s="142"/>
      <c r="B35" s="142"/>
      <c r="C35" s="142"/>
      <c r="D35" s="142"/>
      <c r="E35" s="142"/>
    </row>
    <row r="36" spans="1:5">
      <c r="A36" s="142"/>
      <c r="B36" s="142"/>
      <c r="C36" s="142"/>
      <c r="D36" s="142"/>
      <c r="E36" s="142"/>
    </row>
    <row r="37" spans="1:5">
      <c r="A37" s="142"/>
      <c r="B37" s="142"/>
      <c r="C37" s="142"/>
      <c r="D37" s="142"/>
      <c r="E37" s="142"/>
    </row>
  </sheetData>
  <sheetProtection sheet="1" objects="1" scenarios="1"/>
  <conditionalFormatting sqref="D2:D21">
    <cfRule type="duplicateValues" dxfId="36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C57"/>
  <sheetViews>
    <sheetView tabSelected="1" zoomScale="80" zoomScaleNormal="80" workbookViewId="0">
      <selection activeCell="P22" sqref="P22"/>
    </sheetView>
  </sheetViews>
  <sheetFormatPr baseColWidth="10" defaultColWidth="11.42578125" defaultRowHeight="15.75"/>
  <cols>
    <col min="1" max="1" width="8.140625" style="189" customWidth="1"/>
    <col min="2" max="2" width="5.7109375" style="189" customWidth="1"/>
    <col min="3" max="3" width="6" style="189" customWidth="1"/>
    <col min="4" max="4" width="2.42578125" style="189" customWidth="1"/>
    <col min="5" max="5" width="39" style="189" customWidth="1"/>
    <col min="6" max="6" width="9.42578125" style="189" customWidth="1"/>
    <col min="7" max="7" width="7.140625" style="189" hidden="1" customWidth="1"/>
    <col min="8" max="8" width="7.85546875" style="189" hidden="1" customWidth="1"/>
    <col min="9" max="9" width="9.140625" style="189" hidden="1" customWidth="1"/>
    <col min="10" max="10" width="7.85546875" style="189" hidden="1" customWidth="1"/>
    <col min="11" max="11" width="7.28515625" style="189" hidden="1" customWidth="1"/>
    <col min="12" max="12" width="3.28515625" style="189" customWidth="1"/>
    <col min="13" max="13" width="6.140625" style="189" customWidth="1"/>
    <col min="14" max="14" width="2.42578125" style="189" customWidth="1"/>
    <col min="15" max="15" width="34" style="189" bestFit="1" customWidth="1"/>
    <col min="16" max="16" width="8" style="189" customWidth="1"/>
    <col min="17" max="17" width="7" style="189" hidden="1" customWidth="1"/>
    <col min="18" max="18" width="5.7109375" style="189" hidden="1" customWidth="1"/>
    <col min="19" max="19" width="9.42578125" style="189" hidden="1" customWidth="1"/>
    <col min="20" max="21" width="9.28515625" style="189" hidden="1" customWidth="1"/>
    <col min="22" max="22" width="7.140625" style="189" customWidth="1"/>
    <col min="23" max="23" width="7.85546875" style="189" customWidth="1"/>
    <col min="24" max="24" width="2.28515625" style="189" customWidth="1"/>
    <col min="25" max="25" width="32.42578125" style="189" customWidth="1"/>
    <col min="26" max="26" width="9.7109375" style="189" customWidth="1"/>
    <col min="27" max="27" width="10.42578125" style="189" hidden="1" customWidth="1"/>
    <col min="28" max="28" width="9.42578125" style="189" hidden="1" customWidth="1"/>
    <col min="29" max="30" width="0" style="189" hidden="1" customWidth="1"/>
    <col min="31" max="31" width="12" style="189" hidden="1" customWidth="1"/>
    <col min="32" max="32" width="9.7109375" style="189" customWidth="1"/>
    <col min="33" max="33" width="29.42578125" style="189" hidden="1" customWidth="1"/>
    <col min="34" max="34" width="10.42578125" style="189" hidden="1" customWidth="1"/>
    <col min="35" max="35" width="11.85546875" style="189" hidden="1" customWidth="1"/>
    <col min="36" max="36" width="9" style="189" hidden="1" customWidth="1"/>
    <col min="37" max="37" width="9.7109375" style="189" hidden="1" customWidth="1"/>
    <col min="38" max="38" width="8.85546875" style="189" hidden="1" customWidth="1"/>
    <col min="39" max="39" width="7.140625" style="189" hidden="1" customWidth="1"/>
    <col min="40" max="40" width="9.5703125" style="189" hidden="1" customWidth="1"/>
    <col min="41" max="41" width="12.7109375" style="189" hidden="1" customWidth="1"/>
    <col min="42" max="42" width="7" style="189" hidden="1" customWidth="1"/>
    <col min="43" max="43" width="12.7109375" style="189" hidden="1" customWidth="1"/>
    <col min="44" max="44" width="29" style="189" hidden="1" customWidth="1"/>
    <col min="45" max="45" width="19.42578125" style="189" hidden="1" customWidth="1"/>
    <col min="46" max="46" width="13.28515625" style="189" hidden="1" customWidth="1"/>
    <col min="47" max="48" width="12.7109375" style="189" hidden="1" customWidth="1"/>
    <col min="49" max="49" width="4" style="189" hidden="1" customWidth="1"/>
    <col min="50" max="50" width="7" style="189" hidden="1" customWidth="1"/>
    <col min="51" max="51" width="29" style="189" hidden="1" customWidth="1"/>
    <col min="52" max="56" width="0" style="189" hidden="1" customWidth="1"/>
    <col min="57" max="256" width="11.42578125" style="189"/>
    <col min="257" max="257" width="5.7109375" style="189" customWidth="1"/>
    <col min="258" max="258" width="6" style="189" customWidth="1"/>
    <col min="259" max="259" width="2.42578125" style="189" customWidth="1"/>
    <col min="260" max="260" width="24.7109375" style="189" customWidth="1"/>
    <col min="261" max="261" width="7.28515625" style="189" customWidth="1"/>
    <col min="262" max="262" width="3.28515625" style="189" customWidth="1"/>
    <col min="263" max="263" width="6" style="189" customWidth="1"/>
    <col min="264" max="264" width="2.42578125" style="189" customWidth="1"/>
    <col min="265" max="265" width="24.7109375" style="189" customWidth="1"/>
    <col min="266" max="266" width="7.28515625" style="189" customWidth="1"/>
    <col min="267" max="267" width="3.28515625" style="189" customWidth="1"/>
    <col min="268" max="268" width="6.140625" style="189" customWidth="1"/>
    <col min="269" max="269" width="2.42578125" style="189" customWidth="1"/>
    <col min="270" max="270" width="24.7109375" style="189" customWidth="1"/>
    <col min="271" max="271" width="7.28515625" style="189" customWidth="1"/>
    <col min="272" max="512" width="11.42578125" style="189"/>
    <col min="513" max="513" width="5.7109375" style="189" customWidth="1"/>
    <col min="514" max="514" width="6" style="189" customWidth="1"/>
    <col min="515" max="515" width="2.42578125" style="189" customWidth="1"/>
    <col min="516" max="516" width="24.7109375" style="189" customWidth="1"/>
    <col min="517" max="517" width="7.28515625" style="189" customWidth="1"/>
    <col min="518" max="518" width="3.28515625" style="189" customWidth="1"/>
    <col min="519" max="519" width="6" style="189" customWidth="1"/>
    <col min="520" max="520" width="2.42578125" style="189" customWidth="1"/>
    <col min="521" max="521" width="24.7109375" style="189" customWidth="1"/>
    <col min="522" max="522" width="7.28515625" style="189" customWidth="1"/>
    <col min="523" max="523" width="3.28515625" style="189" customWidth="1"/>
    <col min="524" max="524" width="6.140625" style="189" customWidth="1"/>
    <col min="525" max="525" width="2.42578125" style="189" customWidth="1"/>
    <col min="526" max="526" width="24.7109375" style="189" customWidth="1"/>
    <col min="527" max="527" width="7.28515625" style="189" customWidth="1"/>
    <col min="528" max="768" width="11.42578125" style="189"/>
    <col min="769" max="769" width="5.7109375" style="189" customWidth="1"/>
    <col min="770" max="770" width="6" style="189" customWidth="1"/>
    <col min="771" max="771" width="2.42578125" style="189" customWidth="1"/>
    <col min="772" max="772" width="24.7109375" style="189" customWidth="1"/>
    <col min="773" max="773" width="7.28515625" style="189" customWidth="1"/>
    <col min="774" max="774" width="3.28515625" style="189" customWidth="1"/>
    <col min="775" max="775" width="6" style="189" customWidth="1"/>
    <col min="776" max="776" width="2.42578125" style="189" customWidth="1"/>
    <col min="777" max="777" width="24.7109375" style="189" customWidth="1"/>
    <col min="778" max="778" width="7.28515625" style="189" customWidth="1"/>
    <col min="779" max="779" width="3.28515625" style="189" customWidth="1"/>
    <col min="780" max="780" width="6.140625" style="189" customWidth="1"/>
    <col min="781" max="781" width="2.42578125" style="189" customWidth="1"/>
    <col min="782" max="782" width="24.7109375" style="189" customWidth="1"/>
    <col min="783" max="783" width="7.28515625" style="189" customWidth="1"/>
    <col min="784" max="1024" width="11.42578125" style="189"/>
    <col min="1025" max="1025" width="5.7109375" style="189" customWidth="1"/>
    <col min="1026" max="1026" width="6" style="189" customWidth="1"/>
    <col min="1027" max="1027" width="2.42578125" style="189" customWidth="1"/>
    <col min="1028" max="1028" width="24.7109375" style="189" customWidth="1"/>
    <col min="1029" max="1029" width="7.28515625" style="189" customWidth="1"/>
    <col min="1030" max="1030" width="3.28515625" style="189" customWidth="1"/>
    <col min="1031" max="1031" width="6" style="189" customWidth="1"/>
    <col min="1032" max="1032" width="2.42578125" style="189" customWidth="1"/>
    <col min="1033" max="1033" width="24.7109375" style="189" customWidth="1"/>
    <col min="1034" max="1034" width="7.28515625" style="189" customWidth="1"/>
    <col min="1035" max="1035" width="3.28515625" style="189" customWidth="1"/>
    <col min="1036" max="1036" width="6.140625" style="189" customWidth="1"/>
    <col min="1037" max="1037" width="2.42578125" style="189" customWidth="1"/>
    <col min="1038" max="1038" width="24.7109375" style="189" customWidth="1"/>
    <col min="1039" max="1039" width="7.28515625" style="189" customWidth="1"/>
    <col min="1040" max="1280" width="11.42578125" style="189"/>
    <col min="1281" max="1281" width="5.7109375" style="189" customWidth="1"/>
    <col min="1282" max="1282" width="6" style="189" customWidth="1"/>
    <col min="1283" max="1283" width="2.42578125" style="189" customWidth="1"/>
    <col min="1284" max="1284" width="24.7109375" style="189" customWidth="1"/>
    <col min="1285" max="1285" width="7.28515625" style="189" customWidth="1"/>
    <col min="1286" max="1286" width="3.28515625" style="189" customWidth="1"/>
    <col min="1287" max="1287" width="6" style="189" customWidth="1"/>
    <col min="1288" max="1288" width="2.42578125" style="189" customWidth="1"/>
    <col min="1289" max="1289" width="24.7109375" style="189" customWidth="1"/>
    <col min="1290" max="1290" width="7.28515625" style="189" customWidth="1"/>
    <col min="1291" max="1291" width="3.28515625" style="189" customWidth="1"/>
    <col min="1292" max="1292" width="6.140625" style="189" customWidth="1"/>
    <col min="1293" max="1293" width="2.42578125" style="189" customWidth="1"/>
    <col min="1294" max="1294" width="24.7109375" style="189" customWidth="1"/>
    <col min="1295" max="1295" width="7.28515625" style="189" customWidth="1"/>
    <col min="1296" max="1536" width="11.42578125" style="189"/>
    <col min="1537" max="1537" width="5.7109375" style="189" customWidth="1"/>
    <col min="1538" max="1538" width="6" style="189" customWidth="1"/>
    <col min="1539" max="1539" width="2.42578125" style="189" customWidth="1"/>
    <col min="1540" max="1540" width="24.7109375" style="189" customWidth="1"/>
    <col min="1541" max="1541" width="7.28515625" style="189" customWidth="1"/>
    <col min="1542" max="1542" width="3.28515625" style="189" customWidth="1"/>
    <col min="1543" max="1543" width="6" style="189" customWidth="1"/>
    <col min="1544" max="1544" width="2.42578125" style="189" customWidth="1"/>
    <col min="1545" max="1545" width="24.7109375" style="189" customWidth="1"/>
    <col min="1546" max="1546" width="7.28515625" style="189" customWidth="1"/>
    <col min="1547" max="1547" width="3.28515625" style="189" customWidth="1"/>
    <col min="1548" max="1548" width="6.140625" style="189" customWidth="1"/>
    <col min="1549" max="1549" width="2.42578125" style="189" customWidth="1"/>
    <col min="1550" max="1550" width="24.7109375" style="189" customWidth="1"/>
    <col min="1551" max="1551" width="7.28515625" style="189" customWidth="1"/>
    <col min="1552" max="1792" width="11.42578125" style="189"/>
    <col min="1793" max="1793" width="5.7109375" style="189" customWidth="1"/>
    <col min="1794" max="1794" width="6" style="189" customWidth="1"/>
    <col min="1795" max="1795" width="2.42578125" style="189" customWidth="1"/>
    <col min="1796" max="1796" width="24.7109375" style="189" customWidth="1"/>
    <col min="1797" max="1797" width="7.28515625" style="189" customWidth="1"/>
    <col min="1798" max="1798" width="3.28515625" style="189" customWidth="1"/>
    <col min="1799" max="1799" width="6" style="189" customWidth="1"/>
    <col min="1800" max="1800" width="2.42578125" style="189" customWidth="1"/>
    <col min="1801" max="1801" width="24.7109375" style="189" customWidth="1"/>
    <col min="1802" max="1802" width="7.28515625" style="189" customWidth="1"/>
    <col min="1803" max="1803" width="3.28515625" style="189" customWidth="1"/>
    <col min="1804" max="1804" width="6.140625" style="189" customWidth="1"/>
    <col min="1805" max="1805" width="2.42578125" style="189" customWidth="1"/>
    <col min="1806" max="1806" width="24.7109375" style="189" customWidth="1"/>
    <col min="1807" max="1807" width="7.28515625" style="189" customWidth="1"/>
    <col min="1808" max="2048" width="11.42578125" style="189"/>
    <col min="2049" max="2049" width="5.7109375" style="189" customWidth="1"/>
    <col min="2050" max="2050" width="6" style="189" customWidth="1"/>
    <col min="2051" max="2051" width="2.42578125" style="189" customWidth="1"/>
    <col min="2052" max="2052" width="24.7109375" style="189" customWidth="1"/>
    <col min="2053" max="2053" width="7.28515625" style="189" customWidth="1"/>
    <col min="2054" max="2054" width="3.28515625" style="189" customWidth="1"/>
    <col min="2055" max="2055" width="6" style="189" customWidth="1"/>
    <col min="2056" max="2056" width="2.42578125" style="189" customWidth="1"/>
    <col min="2057" max="2057" width="24.7109375" style="189" customWidth="1"/>
    <col min="2058" max="2058" width="7.28515625" style="189" customWidth="1"/>
    <col min="2059" max="2059" width="3.28515625" style="189" customWidth="1"/>
    <col min="2060" max="2060" width="6.140625" style="189" customWidth="1"/>
    <col min="2061" max="2061" width="2.42578125" style="189" customWidth="1"/>
    <col min="2062" max="2062" width="24.7109375" style="189" customWidth="1"/>
    <col min="2063" max="2063" width="7.28515625" style="189" customWidth="1"/>
    <col min="2064" max="2304" width="11.42578125" style="189"/>
    <col min="2305" max="2305" width="5.7109375" style="189" customWidth="1"/>
    <col min="2306" max="2306" width="6" style="189" customWidth="1"/>
    <col min="2307" max="2307" width="2.42578125" style="189" customWidth="1"/>
    <col min="2308" max="2308" width="24.7109375" style="189" customWidth="1"/>
    <col min="2309" max="2309" width="7.28515625" style="189" customWidth="1"/>
    <col min="2310" max="2310" width="3.28515625" style="189" customWidth="1"/>
    <col min="2311" max="2311" width="6" style="189" customWidth="1"/>
    <col min="2312" max="2312" width="2.42578125" style="189" customWidth="1"/>
    <col min="2313" max="2313" width="24.7109375" style="189" customWidth="1"/>
    <col min="2314" max="2314" width="7.28515625" style="189" customWidth="1"/>
    <col min="2315" max="2315" width="3.28515625" style="189" customWidth="1"/>
    <col min="2316" max="2316" width="6.140625" style="189" customWidth="1"/>
    <col min="2317" max="2317" width="2.42578125" style="189" customWidth="1"/>
    <col min="2318" max="2318" width="24.7109375" style="189" customWidth="1"/>
    <col min="2319" max="2319" width="7.28515625" style="189" customWidth="1"/>
    <col min="2320" max="2560" width="11.42578125" style="189"/>
    <col min="2561" max="2561" width="5.7109375" style="189" customWidth="1"/>
    <col min="2562" max="2562" width="6" style="189" customWidth="1"/>
    <col min="2563" max="2563" width="2.42578125" style="189" customWidth="1"/>
    <col min="2564" max="2564" width="24.7109375" style="189" customWidth="1"/>
    <col min="2565" max="2565" width="7.28515625" style="189" customWidth="1"/>
    <col min="2566" max="2566" width="3.28515625" style="189" customWidth="1"/>
    <col min="2567" max="2567" width="6" style="189" customWidth="1"/>
    <col min="2568" max="2568" width="2.42578125" style="189" customWidth="1"/>
    <col min="2569" max="2569" width="24.7109375" style="189" customWidth="1"/>
    <col min="2570" max="2570" width="7.28515625" style="189" customWidth="1"/>
    <col min="2571" max="2571" width="3.28515625" style="189" customWidth="1"/>
    <col min="2572" max="2572" width="6.140625" style="189" customWidth="1"/>
    <col min="2573" max="2573" width="2.42578125" style="189" customWidth="1"/>
    <col min="2574" max="2574" width="24.7109375" style="189" customWidth="1"/>
    <col min="2575" max="2575" width="7.28515625" style="189" customWidth="1"/>
    <col min="2576" max="2816" width="11.42578125" style="189"/>
    <col min="2817" max="2817" width="5.7109375" style="189" customWidth="1"/>
    <col min="2818" max="2818" width="6" style="189" customWidth="1"/>
    <col min="2819" max="2819" width="2.42578125" style="189" customWidth="1"/>
    <col min="2820" max="2820" width="24.7109375" style="189" customWidth="1"/>
    <col min="2821" max="2821" width="7.28515625" style="189" customWidth="1"/>
    <col min="2822" max="2822" width="3.28515625" style="189" customWidth="1"/>
    <col min="2823" max="2823" width="6" style="189" customWidth="1"/>
    <col min="2824" max="2824" width="2.42578125" style="189" customWidth="1"/>
    <col min="2825" max="2825" width="24.7109375" style="189" customWidth="1"/>
    <col min="2826" max="2826" width="7.28515625" style="189" customWidth="1"/>
    <col min="2827" max="2827" width="3.28515625" style="189" customWidth="1"/>
    <col min="2828" max="2828" width="6.140625" style="189" customWidth="1"/>
    <col min="2829" max="2829" width="2.42578125" style="189" customWidth="1"/>
    <col min="2830" max="2830" width="24.7109375" style="189" customWidth="1"/>
    <col min="2831" max="2831" width="7.28515625" style="189" customWidth="1"/>
    <col min="2832" max="3072" width="11.42578125" style="189"/>
    <col min="3073" max="3073" width="5.7109375" style="189" customWidth="1"/>
    <col min="3074" max="3074" width="6" style="189" customWidth="1"/>
    <col min="3075" max="3075" width="2.42578125" style="189" customWidth="1"/>
    <col min="3076" max="3076" width="24.7109375" style="189" customWidth="1"/>
    <col min="3077" max="3077" width="7.28515625" style="189" customWidth="1"/>
    <col min="3078" max="3078" width="3.28515625" style="189" customWidth="1"/>
    <col min="3079" max="3079" width="6" style="189" customWidth="1"/>
    <col min="3080" max="3080" width="2.42578125" style="189" customWidth="1"/>
    <col min="3081" max="3081" width="24.7109375" style="189" customWidth="1"/>
    <col min="3082" max="3082" width="7.28515625" style="189" customWidth="1"/>
    <col min="3083" max="3083" width="3.28515625" style="189" customWidth="1"/>
    <col min="3084" max="3084" width="6.140625" style="189" customWidth="1"/>
    <col min="3085" max="3085" width="2.42578125" style="189" customWidth="1"/>
    <col min="3086" max="3086" width="24.7109375" style="189" customWidth="1"/>
    <col min="3087" max="3087" width="7.28515625" style="189" customWidth="1"/>
    <col min="3088" max="3328" width="11.42578125" style="189"/>
    <col min="3329" max="3329" width="5.7109375" style="189" customWidth="1"/>
    <col min="3330" max="3330" width="6" style="189" customWidth="1"/>
    <col min="3331" max="3331" width="2.42578125" style="189" customWidth="1"/>
    <col min="3332" max="3332" width="24.7109375" style="189" customWidth="1"/>
    <col min="3333" max="3333" width="7.28515625" style="189" customWidth="1"/>
    <col min="3334" max="3334" width="3.28515625" style="189" customWidth="1"/>
    <col min="3335" max="3335" width="6" style="189" customWidth="1"/>
    <col min="3336" max="3336" width="2.42578125" style="189" customWidth="1"/>
    <col min="3337" max="3337" width="24.7109375" style="189" customWidth="1"/>
    <col min="3338" max="3338" width="7.28515625" style="189" customWidth="1"/>
    <col min="3339" max="3339" width="3.28515625" style="189" customWidth="1"/>
    <col min="3340" max="3340" width="6.140625" style="189" customWidth="1"/>
    <col min="3341" max="3341" width="2.42578125" style="189" customWidth="1"/>
    <col min="3342" max="3342" width="24.7109375" style="189" customWidth="1"/>
    <col min="3343" max="3343" width="7.28515625" style="189" customWidth="1"/>
    <col min="3344" max="3584" width="11.42578125" style="189"/>
    <col min="3585" max="3585" width="5.7109375" style="189" customWidth="1"/>
    <col min="3586" max="3586" width="6" style="189" customWidth="1"/>
    <col min="3587" max="3587" width="2.42578125" style="189" customWidth="1"/>
    <col min="3588" max="3588" width="24.7109375" style="189" customWidth="1"/>
    <col min="3589" max="3589" width="7.28515625" style="189" customWidth="1"/>
    <col min="3590" max="3590" width="3.28515625" style="189" customWidth="1"/>
    <col min="3591" max="3591" width="6" style="189" customWidth="1"/>
    <col min="3592" max="3592" width="2.42578125" style="189" customWidth="1"/>
    <col min="3593" max="3593" width="24.7109375" style="189" customWidth="1"/>
    <col min="3594" max="3594" width="7.28515625" style="189" customWidth="1"/>
    <col min="3595" max="3595" width="3.28515625" style="189" customWidth="1"/>
    <col min="3596" max="3596" width="6.140625" style="189" customWidth="1"/>
    <col min="3597" max="3597" width="2.42578125" style="189" customWidth="1"/>
    <col min="3598" max="3598" width="24.7109375" style="189" customWidth="1"/>
    <col min="3599" max="3599" width="7.28515625" style="189" customWidth="1"/>
    <col min="3600" max="3840" width="11.42578125" style="189"/>
    <col min="3841" max="3841" width="5.7109375" style="189" customWidth="1"/>
    <col min="3842" max="3842" width="6" style="189" customWidth="1"/>
    <col min="3843" max="3843" width="2.42578125" style="189" customWidth="1"/>
    <col min="3844" max="3844" width="24.7109375" style="189" customWidth="1"/>
    <col min="3845" max="3845" width="7.28515625" style="189" customWidth="1"/>
    <col min="3846" max="3846" width="3.28515625" style="189" customWidth="1"/>
    <col min="3847" max="3847" width="6" style="189" customWidth="1"/>
    <col min="3848" max="3848" width="2.42578125" style="189" customWidth="1"/>
    <col min="3849" max="3849" width="24.7109375" style="189" customWidth="1"/>
    <col min="3850" max="3850" width="7.28515625" style="189" customWidth="1"/>
    <col min="3851" max="3851" width="3.28515625" style="189" customWidth="1"/>
    <col min="3852" max="3852" width="6.140625" style="189" customWidth="1"/>
    <col min="3853" max="3853" width="2.42578125" style="189" customWidth="1"/>
    <col min="3854" max="3854" width="24.7109375" style="189" customWidth="1"/>
    <col min="3855" max="3855" width="7.28515625" style="189" customWidth="1"/>
    <col min="3856" max="4096" width="11.42578125" style="189"/>
    <col min="4097" max="4097" width="5.7109375" style="189" customWidth="1"/>
    <col min="4098" max="4098" width="6" style="189" customWidth="1"/>
    <col min="4099" max="4099" width="2.42578125" style="189" customWidth="1"/>
    <col min="4100" max="4100" width="24.7109375" style="189" customWidth="1"/>
    <col min="4101" max="4101" width="7.28515625" style="189" customWidth="1"/>
    <col min="4102" max="4102" width="3.28515625" style="189" customWidth="1"/>
    <col min="4103" max="4103" width="6" style="189" customWidth="1"/>
    <col min="4104" max="4104" width="2.42578125" style="189" customWidth="1"/>
    <col min="4105" max="4105" width="24.7109375" style="189" customWidth="1"/>
    <col min="4106" max="4106" width="7.28515625" style="189" customWidth="1"/>
    <col min="4107" max="4107" width="3.28515625" style="189" customWidth="1"/>
    <col min="4108" max="4108" width="6.140625" style="189" customWidth="1"/>
    <col min="4109" max="4109" width="2.42578125" style="189" customWidth="1"/>
    <col min="4110" max="4110" width="24.7109375" style="189" customWidth="1"/>
    <col min="4111" max="4111" width="7.28515625" style="189" customWidth="1"/>
    <col min="4112" max="4352" width="11.42578125" style="189"/>
    <col min="4353" max="4353" width="5.7109375" style="189" customWidth="1"/>
    <col min="4354" max="4354" width="6" style="189" customWidth="1"/>
    <col min="4355" max="4355" width="2.42578125" style="189" customWidth="1"/>
    <col min="4356" max="4356" width="24.7109375" style="189" customWidth="1"/>
    <col min="4357" max="4357" width="7.28515625" style="189" customWidth="1"/>
    <col min="4358" max="4358" width="3.28515625" style="189" customWidth="1"/>
    <col min="4359" max="4359" width="6" style="189" customWidth="1"/>
    <col min="4360" max="4360" width="2.42578125" style="189" customWidth="1"/>
    <col min="4361" max="4361" width="24.7109375" style="189" customWidth="1"/>
    <col min="4362" max="4362" width="7.28515625" style="189" customWidth="1"/>
    <col min="4363" max="4363" width="3.28515625" style="189" customWidth="1"/>
    <col min="4364" max="4364" width="6.140625" style="189" customWidth="1"/>
    <col min="4365" max="4365" width="2.42578125" style="189" customWidth="1"/>
    <col min="4366" max="4366" width="24.7109375" style="189" customWidth="1"/>
    <col min="4367" max="4367" width="7.28515625" style="189" customWidth="1"/>
    <col min="4368" max="4608" width="11.42578125" style="189"/>
    <col min="4609" max="4609" width="5.7109375" style="189" customWidth="1"/>
    <col min="4610" max="4610" width="6" style="189" customWidth="1"/>
    <col min="4611" max="4611" width="2.42578125" style="189" customWidth="1"/>
    <col min="4612" max="4612" width="24.7109375" style="189" customWidth="1"/>
    <col min="4613" max="4613" width="7.28515625" style="189" customWidth="1"/>
    <col min="4614" max="4614" width="3.28515625" style="189" customWidth="1"/>
    <col min="4615" max="4615" width="6" style="189" customWidth="1"/>
    <col min="4616" max="4616" width="2.42578125" style="189" customWidth="1"/>
    <col min="4617" max="4617" width="24.7109375" style="189" customWidth="1"/>
    <col min="4618" max="4618" width="7.28515625" style="189" customWidth="1"/>
    <col min="4619" max="4619" width="3.28515625" style="189" customWidth="1"/>
    <col min="4620" max="4620" width="6.140625" style="189" customWidth="1"/>
    <col min="4621" max="4621" width="2.42578125" style="189" customWidth="1"/>
    <col min="4622" max="4622" width="24.7109375" style="189" customWidth="1"/>
    <col min="4623" max="4623" width="7.28515625" style="189" customWidth="1"/>
    <col min="4624" max="4864" width="11.42578125" style="189"/>
    <col min="4865" max="4865" width="5.7109375" style="189" customWidth="1"/>
    <col min="4866" max="4866" width="6" style="189" customWidth="1"/>
    <col min="4867" max="4867" width="2.42578125" style="189" customWidth="1"/>
    <col min="4868" max="4868" width="24.7109375" style="189" customWidth="1"/>
    <col min="4869" max="4869" width="7.28515625" style="189" customWidth="1"/>
    <col min="4870" max="4870" width="3.28515625" style="189" customWidth="1"/>
    <col min="4871" max="4871" width="6" style="189" customWidth="1"/>
    <col min="4872" max="4872" width="2.42578125" style="189" customWidth="1"/>
    <col min="4873" max="4873" width="24.7109375" style="189" customWidth="1"/>
    <col min="4874" max="4874" width="7.28515625" style="189" customWidth="1"/>
    <col min="4875" max="4875" width="3.28515625" style="189" customWidth="1"/>
    <col min="4876" max="4876" width="6.140625" style="189" customWidth="1"/>
    <col min="4877" max="4877" width="2.42578125" style="189" customWidth="1"/>
    <col min="4878" max="4878" width="24.7109375" style="189" customWidth="1"/>
    <col min="4879" max="4879" width="7.28515625" style="189" customWidth="1"/>
    <col min="4880" max="5120" width="11.42578125" style="189"/>
    <col min="5121" max="5121" width="5.7109375" style="189" customWidth="1"/>
    <col min="5122" max="5122" width="6" style="189" customWidth="1"/>
    <col min="5123" max="5123" width="2.42578125" style="189" customWidth="1"/>
    <col min="5124" max="5124" width="24.7109375" style="189" customWidth="1"/>
    <col min="5125" max="5125" width="7.28515625" style="189" customWidth="1"/>
    <col min="5126" max="5126" width="3.28515625" style="189" customWidth="1"/>
    <col min="5127" max="5127" width="6" style="189" customWidth="1"/>
    <col min="5128" max="5128" width="2.42578125" style="189" customWidth="1"/>
    <col min="5129" max="5129" width="24.7109375" style="189" customWidth="1"/>
    <col min="5130" max="5130" width="7.28515625" style="189" customWidth="1"/>
    <col min="5131" max="5131" width="3.28515625" style="189" customWidth="1"/>
    <col min="5132" max="5132" width="6.140625" style="189" customWidth="1"/>
    <col min="5133" max="5133" width="2.42578125" style="189" customWidth="1"/>
    <col min="5134" max="5134" width="24.7109375" style="189" customWidth="1"/>
    <col min="5135" max="5135" width="7.28515625" style="189" customWidth="1"/>
    <col min="5136" max="5376" width="11.42578125" style="189"/>
    <col min="5377" max="5377" width="5.7109375" style="189" customWidth="1"/>
    <col min="5378" max="5378" width="6" style="189" customWidth="1"/>
    <col min="5379" max="5379" width="2.42578125" style="189" customWidth="1"/>
    <col min="5380" max="5380" width="24.7109375" style="189" customWidth="1"/>
    <col min="5381" max="5381" width="7.28515625" style="189" customWidth="1"/>
    <col min="5382" max="5382" width="3.28515625" style="189" customWidth="1"/>
    <col min="5383" max="5383" width="6" style="189" customWidth="1"/>
    <col min="5384" max="5384" width="2.42578125" style="189" customWidth="1"/>
    <col min="5385" max="5385" width="24.7109375" style="189" customWidth="1"/>
    <col min="5386" max="5386" width="7.28515625" style="189" customWidth="1"/>
    <col min="5387" max="5387" width="3.28515625" style="189" customWidth="1"/>
    <col min="5388" max="5388" width="6.140625" style="189" customWidth="1"/>
    <col min="5389" max="5389" width="2.42578125" style="189" customWidth="1"/>
    <col min="5390" max="5390" width="24.7109375" style="189" customWidth="1"/>
    <col min="5391" max="5391" width="7.28515625" style="189" customWidth="1"/>
    <col min="5392" max="5632" width="11.42578125" style="189"/>
    <col min="5633" max="5633" width="5.7109375" style="189" customWidth="1"/>
    <col min="5634" max="5634" width="6" style="189" customWidth="1"/>
    <col min="5635" max="5635" width="2.42578125" style="189" customWidth="1"/>
    <col min="5636" max="5636" width="24.7109375" style="189" customWidth="1"/>
    <col min="5637" max="5637" width="7.28515625" style="189" customWidth="1"/>
    <col min="5638" max="5638" width="3.28515625" style="189" customWidth="1"/>
    <col min="5639" max="5639" width="6" style="189" customWidth="1"/>
    <col min="5640" max="5640" width="2.42578125" style="189" customWidth="1"/>
    <col min="5641" max="5641" width="24.7109375" style="189" customWidth="1"/>
    <col min="5642" max="5642" width="7.28515625" style="189" customWidth="1"/>
    <col min="5643" max="5643" width="3.28515625" style="189" customWidth="1"/>
    <col min="5644" max="5644" width="6.140625" style="189" customWidth="1"/>
    <col min="5645" max="5645" width="2.42578125" style="189" customWidth="1"/>
    <col min="5646" max="5646" width="24.7109375" style="189" customWidth="1"/>
    <col min="5647" max="5647" width="7.28515625" style="189" customWidth="1"/>
    <col min="5648" max="5888" width="11.42578125" style="189"/>
    <col min="5889" max="5889" width="5.7109375" style="189" customWidth="1"/>
    <col min="5890" max="5890" width="6" style="189" customWidth="1"/>
    <col min="5891" max="5891" width="2.42578125" style="189" customWidth="1"/>
    <col min="5892" max="5892" width="24.7109375" style="189" customWidth="1"/>
    <col min="5893" max="5893" width="7.28515625" style="189" customWidth="1"/>
    <col min="5894" max="5894" width="3.28515625" style="189" customWidth="1"/>
    <col min="5895" max="5895" width="6" style="189" customWidth="1"/>
    <col min="5896" max="5896" width="2.42578125" style="189" customWidth="1"/>
    <col min="5897" max="5897" width="24.7109375" style="189" customWidth="1"/>
    <col min="5898" max="5898" width="7.28515625" style="189" customWidth="1"/>
    <col min="5899" max="5899" width="3.28515625" style="189" customWidth="1"/>
    <col min="5900" max="5900" width="6.140625" style="189" customWidth="1"/>
    <col min="5901" max="5901" width="2.42578125" style="189" customWidth="1"/>
    <col min="5902" max="5902" width="24.7109375" style="189" customWidth="1"/>
    <col min="5903" max="5903" width="7.28515625" style="189" customWidth="1"/>
    <col min="5904" max="6144" width="11.42578125" style="189"/>
    <col min="6145" max="6145" width="5.7109375" style="189" customWidth="1"/>
    <col min="6146" max="6146" width="6" style="189" customWidth="1"/>
    <col min="6147" max="6147" width="2.42578125" style="189" customWidth="1"/>
    <col min="6148" max="6148" width="24.7109375" style="189" customWidth="1"/>
    <col min="6149" max="6149" width="7.28515625" style="189" customWidth="1"/>
    <col min="6150" max="6150" width="3.28515625" style="189" customWidth="1"/>
    <col min="6151" max="6151" width="6" style="189" customWidth="1"/>
    <col min="6152" max="6152" width="2.42578125" style="189" customWidth="1"/>
    <col min="6153" max="6153" width="24.7109375" style="189" customWidth="1"/>
    <col min="6154" max="6154" width="7.28515625" style="189" customWidth="1"/>
    <col min="6155" max="6155" width="3.28515625" style="189" customWidth="1"/>
    <col min="6156" max="6156" width="6.140625" style="189" customWidth="1"/>
    <col min="6157" max="6157" width="2.42578125" style="189" customWidth="1"/>
    <col min="6158" max="6158" width="24.7109375" style="189" customWidth="1"/>
    <col min="6159" max="6159" width="7.28515625" style="189" customWidth="1"/>
    <col min="6160" max="6400" width="11.42578125" style="189"/>
    <col min="6401" max="6401" width="5.7109375" style="189" customWidth="1"/>
    <col min="6402" max="6402" width="6" style="189" customWidth="1"/>
    <col min="6403" max="6403" width="2.42578125" style="189" customWidth="1"/>
    <col min="6404" max="6404" width="24.7109375" style="189" customWidth="1"/>
    <col min="6405" max="6405" width="7.28515625" style="189" customWidth="1"/>
    <col min="6406" max="6406" width="3.28515625" style="189" customWidth="1"/>
    <col min="6407" max="6407" width="6" style="189" customWidth="1"/>
    <col min="6408" max="6408" width="2.42578125" style="189" customWidth="1"/>
    <col min="6409" max="6409" width="24.7109375" style="189" customWidth="1"/>
    <col min="6410" max="6410" width="7.28515625" style="189" customWidth="1"/>
    <col min="6411" max="6411" width="3.28515625" style="189" customWidth="1"/>
    <col min="6412" max="6412" width="6.140625" style="189" customWidth="1"/>
    <col min="6413" max="6413" width="2.42578125" style="189" customWidth="1"/>
    <col min="6414" max="6414" width="24.7109375" style="189" customWidth="1"/>
    <col min="6415" max="6415" width="7.28515625" style="189" customWidth="1"/>
    <col min="6416" max="6656" width="11.42578125" style="189"/>
    <col min="6657" max="6657" width="5.7109375" style="189" customWidth="1"/>
    <col min="6658" max="6658" width="6" style="189" customWidth="1"/>
    <col min="6659" max="6659" width="2.42578125" style="189" customWidth="1"/>
    <col min="6660" max="6660" width="24.7109375" style="189" customWidth="1"/>
    <col min="6661" max="6661" width="7.28515625" style="189" customWidth="1"/>
    <col min="6662" max="6662" width="3.28515625" style="189" customWidth="1"/>
    <col min="6663" max="6663" width="6" style="189" customWidth="1"/>
    <col min="6664" max="6664" width="2.42578125" style="189" customWidth="1"/>
    <col min="6665" max="6665" width="24.7109375" style="189" customWidth="1"/>
    <col min="6666" max="6666" width="7.28515625" style="189" customWidth="1"/>
    <col min="6667" max="6667" width="3.28515625" style="189" customWidth="1"/>
    <col min="6668" max="6668" width="6.140625" style="189" customWidth="1"/>
    <col min="6669" max="6669" width="2.42578125" style="189" customWidth="1"/>
    <col min="6670" max="6670" width="24.7109375" style="189" customWidth="1"/>
    <col min="6671" max="6671" width="7.28515625" style="189" customWidth="1"/>
    <col min="6672" max="6912" width="11.42578125" style="189"/>
    <col min="6913" max="6913" width="5.7109375" style="189" customWidth="1"/>
    <col min="6914" max="6914" width="6" style="189" customWidth="1"/>
    <col min="6915" max="6915" width="2.42578125" style="189" customWidth="1"/>
    <col min="6916" max="6916" width="24.7109375" style="189" customWidth="1"/>
    <col min="6917" max="6917" width="7.28515625" style="189" customWidth="1"/>
    <col min="6918" max="6918" width="3.28515625" style="189" customWidth="1"/>
    <col min="6919" max="6919" width="6" style="189" customWidth="1"/>
    <col min="6920" max="6920" width="2.42578125" style="189" customWidth="1"/>
    <col min="6921" max="6921" width="24.7109375" style="189" customWidth="1"/>
    <col min="6922" max="6922" width="7.28515625" style="189" customWidth="1"/>
    <col min="6923" max="6923" width="3.28515625" style="189" customWidth="1"/>
    <col min="6924" max="6924" width="6.140625" style="189" customWidth="1"/>
    <col min="6925" max="6925" width="2.42578125" style="189" customWidth="1"/>
    <col min="6926" max="6926" width="24.7109375" style="189" customWidth="1"/>
    <col min="6927" max="6927" width="7.28515625" style="189" customWidth="1"/>
    <col min="6928" max="7168" width="11.42578125" style="189"/>
    <col min="7169" max="7169" width="5.7109375" style="189" customWidth="1"/>
    <col min="7170" max="7170" width="6" style="189" customWidth="1"/>
    <col min="7171" max="7171" width="2.42578125" style="189" customWidth="1"/>
    <col min="7172" max="7172" width="24.7109375" style="189" customWidth="1"/>
    <col min="7173" max="7173" width="7.28515625" style="189" customWidth="1"/>
    <col min="7174" max="7174" width="3.28515625" style="189" customWidth="1"/>
    <col min="7175" max="7175" width="6" style="189" customWidth="1"/>
    <col min="7176" max="7176" width="2.42578125" style="189" customWidth="1"/>
    <col min="7177" max="7177" width="24.7109375" style="189" customWidth="1"/>
    <col min="7178" max="7178" width="7.28515625" style="189" customWidth="1"/>
    <col min="7179" max="7179" width="3.28515625" style="189" customWidth="1"/>
    <col min="7180" max="7180" width="6.140625" style="189" customWidth="1"/>
    <col min="7181" max="7181" width="2.42578125" style="189" customWidth="1"/>
    <col min="7182" max="7182" width="24.7109375" style="189" customWidth="1"/>
    <col min="7183" max="7183" width="7.28515625" style="189" customWidth="1"/>
    <col min="7184" max="7424" width="11.42578125" style="189"/>
    <col min="7425" max="7425" width="5.7109375" style="189" customWidth="1"/>
    <col min="7426" max="7426" width="6" style="189" customWidth="1"/>
    <col min="7427" max="7427" width="2.42578125" style="189" customWidth="1"/>
    <col min="7428" max="7428" width="24.7109375" style="189" customWidth="1"/>
    <col min="7429" max="7429" width="7.28515625" style="189" customWidth="1"/>
    <col min="7430" max="7430" width="3.28515625" style="189" customWidth="1"/>
    <col min="7431" max="7431" width="6" style="189" customWidth="1"/>
    <col min="7432" max="7432" width="2.42578125" style="189" customWidth="1"/>
    <col min="7433" max="7433" width="24.7109375" style="189" customWidth="1"/>
    <col min="7434" max="7434" width="7.28515625" style="189" customWidth="1"/>
    <col min="7435" max="7435" width="3.28515625" style="189" customWidth="1"/>
    <col min="7436" max="7436" width="6.140625" style="189" customWidth="1"/>
    <col min="7437" max="7437" width="2.42578125" style="189" customWidth="1"/>
    <col min="7438" max="7438" width="24.7109375" style="189" customWidth="1"/>
    <col min="7439" max="7439" width="7.28515625" style="189" customWidth="1"/>
    <col min="7440" max="7680" width="11.42578125" style="189"/>
    <col min="7681" max="7681" width="5.7109375" style="189" customWidth="1"/>
    <col min="7682" max="7682" width="6" style="189" customWidth="1"/>
    <col min="7683" max="7683" width="2.42578125" style="189" customWidth="1"/>
    <col min="7684" max="7684" width="24.7109375" style="189" customWidth="1"/>
    <col min="7685" max="7685" width="7.28515625" style="189" customWidth="1"/>
    <col min="7686" max="7686" width="3.28515625" style="189" customWidth="1"/>
    <col min="7687" max="7687" width="6" style="189" customWidth="1"/>
    <col min="7688" max="7688" width="2.42578125" style="189" customWidth="1"/>
    <col min="7689" max="7689" width="24.7109375" style="189" customWidth="1"/>
    <col min="7690" max="7690" width="7.28515625" style="189" customWidth="1"/>
    <col min="7691" max="7691" width="3.28515625" style="189" customWidth="1"/>
    <col min="7692" max="7692" width="6.140625" style="189" customWidth="1"/>
    <col min="7693" max="7693" width="2.42578125" style="189" customWidth="1"/>
    <col min="7694" max="7694" width="24.7109375" style="189" customWidth="1"/>
    <col min="7695" max="7695" width="7.28515625" style="189" customWidth="1"/>
    <col min="7696" max="7936" width="11.42578125" style="189"/>
    <col min="7937" max="7937" width="5.7109375" style="189" customWidth="1"/>
    <col min="7938" max="7938" width="6" style="189" customWidth="1"/>
    <col min="7939" max="7939" width="2.42578125" style="189" customWidth="1"/>
    <col min="7940" max="7940" width="24.7109375" style="189" customWidth="1"/>
    <col min="7941" max="7941" width="7.28515625" style="189" customWidth="1"/>
    <col min="7942" max="7942" width="3.28515625" style="189" customWidth="1"/>
    <col min="7943" max="7943" width="6" style="189" customWidth="1"/>
    <col min="7944" max="7944" width="2.42578125" style="189" customWidth="1"/>
    <col min="7945" max="7945" width="24.7109375" style="189" customWidth="1"/>
    <col min="7946" max="7946" width="7.28515625" style="189" customWidth="1"/>
    <col min="7947" max="7947" width="3.28515625" style="189" customWidth="1"/>
    <col min="7948" max="7948" width="6.140625" style="189" customWidth="1"/>
    <col min="7949" max="7949" width="2.42578125" style="189" customWidth="1"/>
    <col min="7950" max="7950" width="24.7109375" style="189" customWidth="1"/>
    <col min="7951" max="7951" width="7.28515625" style="189" customWidth="1"/>
    <col min="7952" max="8192" width="11.42578125" style="189"/>
    <col min="8193" max="8193" width="5.7109375" style="189" customWidth="1"/>
    <col min="8194" max="8194" width="6" style="189" customWidth="1"/>
    <col min="8195" max="8195" width="2.42578125" style="189" customWidth="1"/>
    <col min="8196" max="8196" width="24.7109375" style="189" customWidth="1"/>
    <col min="8197" max="8197" width="7.28515625" style="189" customWidth="1"/>
    <col min="8198" max="8198" width="3.28515625" style="189" customWidth="1"/>
    <col min="8199" max="8199" width="6" style="189" customWidth="1"/>
    <col min="8200" max="8200" width="2.42578125" style="189" customWidth="1"/>
    <col min="8201" max="8201" width="24.7109375" style="189" customWidth="1"/>
    <col min="8202" max="8202" width="7.28515625" style="189" customWidth="1"/>
    <col min="8203" max="8203" width="3.28515625" style="189" customWidth="1"/>
    <col min="8204" max="8204" width="6.140625" style="189" customWidth="1"/>
    <col min="8205" max="8205" width="2.42578125" style="189" customWidth="1"/>
    <col min="8206" max="8206" width="24.7109375" style="189" customWidth="1"/>
    <col min="8207" max="8207" width="7.28515625" style="189" customWidth="1"/>
    <col min="8208" max="8448" width="11.42578125" style="189"/>
    <col min="8449" max="8449" width="5.7109375" style="189" customWidth="1"/>
    <col min="8450" max="8450" width="6" style="189" customWidth="1"/>
    <col min="8451" max="8451" width="2.42578125" style="189" customWidth="1"/>
    <col min="8452" max="8452" width="24.7109375" style="189" customWidth="1"/>
    <col min="8453" max="8453" width="7.28515625" style="189" customWidth="1"/>
    <col min="8454" max="8454" width="3.28515625" style="189" customWidth="1"/>
    <col min="8455" max="8455" width="6" style="189" customWidth="1"/>
    <col min="8456" max="8456" width="2.42578125" style="189" customWidth="1"/>
    <col min="8457" max="8457" width="24.7109375" style="189" customWidth="1"/>
    <col min="8458" max="8458" width="7.28515625" style="189" customWidth="1"/>
    <col min="8459" max="8459" width="3.28515625" style="189" customWidth="1"/>
    <col min="8460" max="8460" width="6.140625" style="189" customWidth="1"/>
    <col min="8461" max="8461" width="2.42578125" style="189" customWidth="1"/>
    <col min="8462" max="8462" width="24.7109375" style="189" customWidth="1"/>
    <col min="8463" max="8463" width="7.28515625" style="189" customWidth="1"/>
    <col min="8464" max="8704" width="11.42578125" style="189"/>
    <col min="8705" max="8705" width="5.7109375" style="189" customWidth="1"/>
    <col min="8706" max="8706" width="6" style="189" customWidth="1"/>
    <col min="8707" max="8707" width="2.42578125" style="189" customWidth="1"/>
    <col min="8708" max="8708" width="24.7109375" style="189" customWidth="1"/>
    <col min="8709" max="8709" width="7.28515625" style="189" customWidth="1"/>
    <col min="8710" max="8710" width="3.28515625" style="189" customWidth="1"/>
    <col min="8711" max="8711" width="6" style="189" customWidth="1"/>
    <col min="8712" max="8712" width="2.42578125" style="189" customWidth="1"/>
    <col min="8713" max="8713" width="24.7109375" style="189" customWidth="1"/>
    <col min="8714" max="8714" width="7.28515625" style="189" customWidth="1"/>
    <col min="8715" max="8715" width="3.28515625" style="189" customWidth="1"/>
    <col min="8716" max="8716" width="6.140625" style="189" customWidth="1"/>
    <col min="8717" max="8717" width="2.42578125" style="189" customWidth="1"/>
    <col min="8718" max="8718" width="24.7109375" style="189" customWidth="1"/>
    <col min="8719" max="8719" width="7.28515625" style="189" customWidth="1"/>
    <col min="8720" max="8960" width="11.42578125" style="189"/>
    <col min="8961" max="8961" width="5.7109375" style="189" customWidth="1"/>
    <col min="8962" max="8962" width="6" style="189" customWidth="1"/>
    <col min="8963" max="8963" width="2.42578125" style="189" customWidth="1"/>
    <col min="8964" max="8964" width="24.7109375" style="189" customWidth="1"/>
    <col min="8965" max="8965" width="7.28515625" style="189" customWidth="1"/>
    <col min="8966" max="8966" width="3.28515625" style="189" customWidth="1"/>
    <col min="8967" max="8967" width="6" style="189" customWidth="1"/>
    <col min="8968" max="8968" width="2.42578125" style="189" customWidth="1"/>
    <col min="8969" max="8969" width="24.7109375" style="189" customWidth="1"/>
    <col min="8970" max="8970" width="7.28515625" style="189" customWidth="1"/>
    <col min="8971" max="8971" width="3.28515625" style="189" customWidth="1"/>
    <col min="8972" max="8972" width="6.140625" style="189" customWidth="1"/>
    <col min="8973" max="8973" width="2.42578125" style="189" customWidth="1"/>
    <col min="8974" max="8974" width="24.7109375" style="189" customWidth="1"/>
    <col min="8975" max="8975" width="7.28515625" style="189" customWidth="1"/>
    <col min="8976" max="9216" width="11.42578125" style="189"/>
    <col min="9217" max="9217" width="5.7109375" style="189" customWidth="1"/>
    <col min="9218" max="9218" width="6" style="189" customWidth="1"/>
    <col min="9219" max="9219" width="2.42578125" style="189" customWidth="1"/>
    <col min="9220" max="9220" width="24.7109375" style="189" customWidth="1"/>
    <col min="9221" max="9221" width="7.28515625" style="189" customWidth="1"/>
    <col min="9222" max="9222" width="3.28515625" style="189" customWidth="1"/>
    <col min="9223" max="9223" width="6" style="189" customWidth="1"/>
    <col min="9224" max="9224" width="2.42578125" style="189" customWidth="1"/>
    <col min="9225" max="9225" width="24.7109375" style="189" customWidth="1"/>
    <col min="9226" max="9226" width="7.28515625" style="189" customWidth="1"/>
    <col min="9227" max="9227" width="3.28515625" style="189" customWidth="1"/>
    <col min="9228" max="9228" width="6.140625" style="189" customWidth="1"/>
    <col min="9229" max="9229" width="2.42578125" style="189" customWidth="1"/>
    <col min="9230" max="9230" width="24.7109375" style="189" customWidth="1"/>
    <col min="9231" max="9231" width="7.28515625" style="189" customWidth="1"/>
    <col min="9232" max="9472" width="11.42578125" style="189"/>
    <col min="9473" max="9473" width="5.7109375" style="189" customWidth="1"/>
    <col min="9474" max="9474" width="6" style="189" customWidth="1"/>
    <col min="9475" max="9475" width="2.42578125" style="189" customWidth="1"/>
    <col min="9476" max="9476" width="24.7109375" style="189" customWidth="1"/>
    <col min="9477" max="9477" width="7.28515625" style="189" customWidth="1"/>
    <col min="9478" max="9478" width="3.28515625" style="189" customWidth="1"/>
    <col min="9479" max="9479" width="6" style="189" customWidth="1"/>
    <col min="9480" max="9480" width="2.42578125" style="189" customWidth="1"/>
    <col min="9481" max="9481" width="24.7109375" style="189" customWidth="1"/>
    <col min="9482" max="9482" width="7.28515625" style="189" customWidth="1"/>
    <col min="9483" max="9483" width="3.28515625" style="189" customWidth="1"/>
    <col min="9484" max="9484" width="6.140625" style="189" customWidth="1"/>
    <col min="9485" max="9485" width="2.42578125" style="189" customWidth="1"/>
    <col min="9486" max="9486" width="24.7109375" style="189" customWidth="1"/>
    <col min="9487" max="9487" width="7.28515625" style="189" customWidth="1"/>
    <col min="9488" max="9728" width="11.42578125" style="189"/>
    <col min="9729" max="9729" width="5.7109375" style="189" customWidth="1"/>
    <col min="9730" max="9730" width="6" style="189" customWidth="1"/>
    <col min="9731" max="9731" width="2.42578125" style="189" customWidth="1"/>
    <col min="9732" max="9732" width="24.7109375" style="189" customWidth="1"/>
    <col min="9733" max="9733" width="7.28515625" style="189" customWidth="1"/>
    <col min="9734" max="9734" width="3.28515625" style="189" customWidth="1"/>
    <col min="9735" max="9735" width="6" style="189" customWidth="1"/>
    <col min="9736" max="9736" width="2.42578125" style="189" customWidth="1"/>
    <col min="9737" max="9737" width="24.7109375" style="189" customWidth="1"/>
    <col min="9738" max="9738" width="7.28515625" style="189" customWidth="1"/>
    <col min="9739" max="9739" width="3.28515625" style="189" customWidth="1"/>
    <col min="9740" max="9740" width="6.140625" style="189" customWidth="1"/>
    <col min="9741" max="9741" width="2.42578125" style="189" customWidth="1"/>
    <col min="9742" max="9742" width="24.7109375" style="189" customWidth="1"/>
    <col min="9743" max="9743" width="7.28515625" style="189" customWidth="1"/>
    <col min="9744" max="9984" width="11.42578125" style="189"/>
    <col min="9985" max="9985" width="5.7109375" style="189" customWidth="1"/>
    <col min="9986" max="9986" width="6" style="189" customWidth="1"/>
    <col min="9987" max="9987" width="2.42578125" style="189" customWidth="1"/>
    <col min="9988" max="9988" width="24.7109375" style="189" customWidth="1"/>
    <col min="9989" max="9989" width="7.28515625" style="189" customWidth="1"/>
    <col min="9990" max="9990" width="3.28515625" style="189" customWidth="1"/>
    <col min="9991" max="9991" width="6" style="189" customWidth="1"/>
    <col min="9992" max="9992" width="2.42578125" style="189" customWidth="1"/>
    <col min="9993" max="9993" width="24.7109375" style="189" customWidth="1"/>
    <col min="9994" max="9994" width="7.28515625" style="189" customWidth="1"/>
    <col min="9995" max="9995" width="3.28515625" style="189" customWidth="1"/>
    <col min="9996" max="9996" width="6.140625" style="189" customWidth="1"/>
    <col min="9997" max="9997" width="2.42578125" style="189" customWidth="1"/>
    <col min="9998" max="9998" width="24.7109375" style="189" customWidth="1"/>
    <col min="9999" max="9999" width="7.28515625" style="189" customWidth="1"/>
    <col min="10000" max="10240" width="11.42578125" style="189"/>
    <col min="10241" max="10241" width="5.7109375" style="189" customWidth="1"/>
    <col min="10242" max="10242" width="6" style="189" customWidth="1"/>
    <col min="10243" max="10243" width="2.42578125" style="189" customWidth="1"/>
    <col min="10244" max="10244" width="24.7109375" style="189" customWidth="1"/>
    <col min="10245" max="10245" width="7.28515625" style="189" customWidth="1"/>
    <col min="10246" max="10246" width="3.28515625" style="189" customWidth="1"/>
    <col min="10247" max="10247" width="6" style="189" customWidth="1"/>
    <col min="10248" max="10248" width="2.42578125" style="189" customWidth="1"/>
    <col min="10249" max="10249" width="24.7109375" style="189" customWidth="1"/>
    <col min="10250" max="10250" width="7.28515625" style="189" customWidth="1"/>
    <col min="10251" max="10251" width="3.28515625" style="189" customWidth="1"/>
    <col min="10252" max="10252" width="6.140625" style="189" customWidth="1"/>
    <col min="10253" max="10253" width="2.42578125" style="189" customWidth="1"/>
    <col min="10254" max="10254" width="24.7109375" style="189" customWidth="1"/>
    <col min="10255" max="10255" width="7.28515625" style="189" customWidth="1"/>
    <col min="10256" max="10496" width="11.42578125" style="189"/>
    <col min="10497" max="10497" width="5.7109375" style="189" customWidth="1"/>
    <col min="10498" max="10498" width="6" style="189" customWidth="1"/>
    <col min="10499" max="10499" width="2.42578125" style="189" customWidth="1"/>
    <col min="10500" max="10500" width="24.7109375" style="189" customWidth="1"/>
    <col min="10501" max="10501" width="7.28515625" style="189" customWidth="1"/>
    <col min="10502" max="10502" width="3.28515625" style="189" customWidth="1"/>
    <col min="10503" max="10503" width="6" style="189" customWidth="1"/>
    <col min="10504" max="10504" width="2.42578125" style="189" customWidth="1"/>
    <col min="10505" max="10505" width="24.7109375" style="189" customWidth="1"/>
    <col min="10506" max="10506" width="7.28515625" style="189" customWidth="1"/>
    <col min="10507" max="10507" width="3.28515625" style="189" customWidth="1"/>
    <col min="10508" max="10508" width="6.140625" style="189" customWidth="1"/>
    <col min="10509" max="10509" width="2.42578125" style="189" customWidth="1"/>
    <col min="10510" max="10510" width="24.7109375" style="189" customWidth="1"/>
    <col min="10511" max="10511" width="7.28515625" style="189" customWidth="1"/>
    <col min="10512" max="10752" width="11.42578125" style="189"/>
    <col min="10753" max="10753" width="5.7109375" style="189" customWidth="1"/>
    <col min="10754" max="10754" width="6" style="189" customWidth="1"/>
    <col min="10755" max="10755" width="2.42578125" style="189" customWidth="1"/>
    <col min="10756" max="10756" width="24.7109375" style="189" customWidth="1"/>
    <col min="10757" max="10757" width="7.28515625" style="189" customWidth="1"/>
    <col min="10758" max="10758" width="3.28515625" style="189" customWidth="1"/>
    <col min="10759" max="10759" width="6" style="189" customWidth="1"/>
    <col min="10760" max="10760" width="2.42578125" style="189" customWidth="1"/>
    <col min="10761" max="10761" width="24.7109375" style="189" customWidth="1"/>
    <col min="10762" max="10762" width="7.28515625" style="189" customWidth="1"/>
    <col min="10763" max="10763" width="3.28515625" style="189" customWidth="1"/>
    <col min="10764" max="10764" width="6.140625" style="189" customWidth="1"/>
    <col min="10765" max="10765" width="2.42578125" style="189" customWidth="1"/>
    <col min="10766" max="10766" width="24.7109375" style="189" customWidth="1"/>
    <col min="10767" max="10767" width="7.28515625" style="189" customWidth="1"/>
    <col min="10768" max="11008" width="11.42578125" style="189"/>
    <col min="11009" max="11009" width="5.7109375" style="189" customWidth="1"/>
    <col min="11010" max="11010" width="6" style="189" customWidth="1"/>
    <col min="11011" max="11011" width="2.42578125" style="189" customWidth="1"/>
    <col min="11012" max="11012" width="24.7109375" style="189" customWidth="1"/>
    <col min="11013" max="11013" width="7.28515625" style="189" customWidth="1"/>
    <col min="11014" max="11014" width="3.28515625" style="189" customWidth="1"/>
    <col min="11015" max="11015" width="6" style="189" customWidth="1"/>
    <col min="11016" max="11016" width="2.42578125" style="189" customWidth="1"/>
    <col min="11017" max="11017" width="24.7109375" style="189" customWidth="1"/>
    <col min="11018" max="11018" width="7.28515625" style="189" customWidth="1"/>
    <col min="11019" max="11019" width="3.28515625" style="189" customWidth="1"/>
    <col min="11020" max="11020" width="6.140625" style="189" customWidth="1"/>
    <col min="11021" max="11021" width="2.42578125" style="189" customWidth="1"/>
    <col min="11022" max="11022" width="24.7109375" style="189" customWidth="1"/>
    <col min="11023" max="11023" width="7.28515625" style="189" customWidth="1"/>
    <col min="11024" max="11264" width="11.42578125" style="189"/>
    <col min="11265" max="11265" width="5.7109375" style="189" customWidth="1"/>
    <col min="11266" max="11266" width="6" style="189" customWidth="1"/>
    <col min="11267" max="11267" width="2.42578125" style="189" customWidth="1"/>
    <col min="11268" max="11268" width="24.7109375" style="189" customWidth="1"/>
    <col min="11269" max="11269" width="7.28515625" style="189" customWidth="1"/>
    <col min="11270" max="11270" width="3.28515625" style="189" customWidth="1"/>
    <col min="11271" max="11271" width="6" style="189" customWidth="1"/>
    <col min="11272" max="11272" width="2.42578125" style="189" customWidth="1"/>
    <col min="11273" max="11273" width="24.7109375" style="189" customWidth="1"/>
    <col min="11274" max="11274" width="7.28515625" style="189" customWidth="1"/>
    <col min="11275" max="11275" width="3.28515625" style="189" customWidth="1"/>
    <col min="11276" max="11276" width="6.140625" style="189" customWidth="1"/>
    <col min="11277" max="11277" width="2.42578125" style="189" customWidth="1"/>
    <col min="11278" max="11278" width="24.7109375" style="189" customWidth="1"/>
    <col min="11279" max="11279" width="7.28515625" style="189" customWidth="1"/>
    <col min="11280" max="11520" width="11.42578125" style="189"/>
    <col min="11521" max="11521" width="5.7109375" style="189" customWidth="1"/>
    <col min="11522" max="11522" width="6" style="189" customWidth="1"/>
    <col min="11523" max="11523" width="2.42578125" style="189" customWidth="1"/>
    <col min="11524" max="11524" width="24.7109375" style="189" customWidth="1"/>
    <col min="11525" max="11525" width="7.28515625" style="189" customWidth="1"/>
    <col min="11526" max="11526" width="3.28515625" style="189" customWidth="1"/>
    <col min="11527" max="11527" width="6" style="189" customWidth="1"/>
    <col min="11528" max="11528" width="2.42578125" style="189" customWidth="1"/>
    <col min="11529" max="11529" width="24.7109375" style="189" customWidth="1"/>
    <col min="11530" max="11530" width="7.28515625" style="189" customWidth="1"/>
    <col min="11531" max="11531" width="3.28515625" style="189" customWidth="1"/>
    <col min="11532" max="11532" width="6.140625" style="189" customWidth="1"/>
    <col min="11533" max="11533" width="2.42578125" style="189" customWidth="1"/>
    <col min="11534" max="11534" width="24.7109375" style="189" customWidth="1"/>
    <col min="11535" max="11535" width="7.28515625" style="189" customWidth="1"/>
    <col min="11536" max="11776" width="11.42578125" style="189"/>
    <col min="11777" max="11777" width="5.7109375" style="189" customWidth="1"/>
    <col min="11778" max="11778" width="6" style="189" customWidth="1"/>
    <col min="11779" max="11779" width="2.42578125" style="189" customWidth="1"/>
    <col min="11780" max="11780" width="24.7109375" style="189" customWidth="1"/>
    <col min="11781" max="11781" width="7.28515625" style="189" customWidth="1"/>
    <col min="11782" max="11782" width="3.28515625" style="189" customWidth="1"/>
    <col min="11783" max="11783" width="6" style="189" customWidth="1"/>
    <col min="11784" max="11784" width="2.42578125" style="189" customWidth="1"/>
    <col min="11785" max="11785" width="24.7109375" style="189" customWidth="1"/>
    <col min="11786" max="11786" width="7.28515625" style="189" customWidth="1"/>
    <col min="11787" max="11787" width="3.28515625" style="189" customWidth="1"/>
    <col min="11788" max="11788" width="6.140625" style="189" customWidth="1"/>
    <col min="11789" max="11789" width="2.42578125" style="189" customWidth="1"/>
    <col min="11790" max="11790" width="24.7109375" style="189" customWidth="1"/>
    <col min="11791" max="11791" width="7.28515625" style="189" customWidth="1"/>
    <col min="11792" max="12032" width="11.42578125" style="189"/>
    <col min="12033" max="12033" width="5.7109375" style="189" customWidth="1"/>
    <col min="12034" max="12034" width="6" style="189" customWidth="1"/>
    <col min="12035" max="12035" width="2.42578125" style="189" customWidth="1"/>
    <col min="12036" max="12036" width="24.7109375" style="189" customWidth="1"/>
    <col min="12037" max="12037" width="7.28515625" style="189" customWidth="1"/>
    <col min="12038" max="12038" width="3.28515625" style="189" customWidth="1"/>
    <col min="12039" max="12039" width="6" style="189" customWidth="1"/>
    <col min="12040" max="12040" width="2.42578125" style="189" customWidth="1"/>
    <col min="12041" max="12041" width="24.7109375" style="189" customWidth="1"/>
    <col min="12042" max="12042" width="7.28515625" style="189" customWidth="1"/>
    <col min="12043" max="12043" width="3.28515625" style="189" customWidth="1"/>
    <col min="12044" max="12044" width="6.140625" style="189" customWidth="1"/>
    <col min="12045" max="12045" width="2.42578125" style="189" customWidth="1"/>
    <col min="12046" max="12046" width="24.7109375" style="189" customWidth="1"/>
    <col min="12047" max="12047" width="7.28515625" style="189" customWidth="1"/>
    <col min="12048" max="12288" width="11.42578125" style="189"/>
    <col min="12289" max="12289" width="5.7109375" style="189" customWidth="1"/>
    <col min="12290" max="12290" width="6" style="189" customWidth="1"/>
    <col min="12291" max="12291" width="2.42578125" style="189" customWidth="1"/>
    <col min="12292" max="12292" width="24.7109375" style="189" customWidth="1"/>
    <col min="12293" max="12293" width="7.28515625" style="189" customWidth="1"/>
    <col min="12294" max="12294" width="3.28515625" style="189" customWidth="1"/>
    <col min="12295" max="12295" width="6" style="189" customWidth="1"/>
    <col min="12296" max="12296" width="2.42578125" style="189" customWidth="1"/>
    <col min="12297" max="12297" width="24.7109375" style="189" customWidth="1"/>
    <col min="12298" max="12298" width="7.28515625" style="189" customWidth="1"/>
    <col min="12299" max="12299" width="3.28515625" style="189" customWidth="1"/>
    <col min="12300" max="12300" width="6.140625" style="189" customWidth="1"/>
    <col min="12301" max="12301" width="2.42578125" style="189" customWidth="1"/>
    <col min="12302" max="12302" width="24.7109375" style="189" customWidth="1"/>
    <col min="12303" max="12303" width="7.28515625" style="189" customWidth="1"/>
    <col min="12304" max="12544" width="11.42578125" style="189"/>
    <col min="12545" max="12545" width="5.7109375" style="189" customWidth="1"/>
    <col min="12546" max="12546" width="6" style="189" customWidth="1"/>
    <col min="12547" max="12547" width="2.42578125" style="189" customWidth="1"/>
    <col min="12548" max="12548" width="24.7109375" style="189" customWidth="1"/>
    <col min="12549" max="12549" width="7.28515625" style="189" customWidth="1"/>
    <col min="12550" max="12550" width="3.28515625" style="189" customWidth="1"/>
    <col min="12551" max="12551" width="6" style="189" customWidth="1"/>
    <col min="12552" max="12552" width="2.42578125" style="189" customWidth="1"/>
    <col min="12553" max="12553" width="24.7109375" style="189" customWidth="1"/>
    <col min="12554" max="12554" width="7.28515625" style="189" customWidth="1"/>
    <col min="12555" max="12555" width="3.28515625" style="189" customWidth="1"/>
    <col min="12556" max="12556" width="6.140625" style="189" customWidth="1"/>
    <col min="12557" max="12557" width="2.42578125" style="189" customWidth="1"/>
    <col min="12558" max="12558" width="24.7109375" style="189" customWidth="1"/>
    <col min="12559" max="12559" width="7.28515625" style="189" customWidth="1"/>
    <col min="12560" max="12800" width="11.42578125" style="189"/>
    <col min="12801" max="12801" width="5.7109375" style="189" customWidth="1"/>
    <col min="12802" max="12802" width="6" style="189" customWidth="1"/>
    <col min="12803" max="12803" width="2.42578125" style="189" customWidth="1"/>
    <col min="12804" max="12804" width="24.7109375" style="189" customWidth="1"/>
    <col min="12805" max="12805" width="7.28515625" style="189" customWidth="1"/>
    <col min="12806" max="12806" width="3.28515625" style="189" customWidth="1"/>
    <col min="12807" max="12807" width="6" style="189" customWidth="1"/>
    <col min="12808" max="12808" width="2.42578125" style="189" customWidth="1"/>
    <col min="12809" max="12809" width="24.7109375" style="189" customWidth="1"/>
    <col min="12810" max="12810" width="7.28515625" style="189" customWidth="1"/>
    <col min="12811" max="12811" width="3.28515625" style="189" customWidth="1"/>
    <col min="12812" max="12812" width="6.140625" style="189" customWidth="1"/>
    <col min="12813" max="12813" width="2.42578125" style="189" customWidth="1"/>
    <col min="12814" max="12814" width="24.7109375" style="189" customWidth="1"/>
    <col min="12815" max="12815" width="7.28515625" style="189" customWidth="1"/>
    <col min="12816" max="13056" width="11.42578125" style="189"/>
    <col min="13057" max="13057" width="5.7109375" style="189" customWidth="1"/>
    <col min="13058" max="13058" width="6" style="189" customWidth="1"/>
    <col min="13059" max="13059" width="2.42578125" style="189" customWidth="1"/>
    <col min="13060" max="13060" width="24.7109375" style="189" customWidth="1"/>
    <col min="13061" max="13061" width="7.28515625" style="189" customWidth="1"/>
    <col min="13062" max="13062" width="3.28515625" style="189" customWidth="1"/>
    <col min="13063" max="13063" width="6" style="189" customWidth="1"/>
    <col min="13064" max="13064" width="2.42578125" style="189" customWidth="1"/>
    <col min="13065" max="13065" width="24.7109375" style="189" customWidth="1"/>
    <col min="13066" max="13066" width="7.28515625" style="189" customWidth="1"/>
    <col min="13067" max="13067" width="3.28515625" style="189" customWidth="1"/>
    <col min="13068" max="13068" width="6.140625" style="189" customWidth="1"/>
    <col min="13069" max="13069" width="2.42578125" style="189" customWidth="1"/>
    <col min="13070" max="13070" width="24.7109375" style="189" customWidth="1"/>
    <col min="13071" max="13071" width="7.28515625" style="189" customWidth="1"/>
    <col min="13072" max="13312" width="11.42578125" style="189"/>
    <col min="13313" max="13313" width="5.7109375" style="189" customWidth="1"/>
    <col min="13314" max="13314" width="6" style="189" customWidth="1"/>
    <col min="13315" max="13315" width="2.42578125" style="189" customWidth="1"/>
    <col min="13316" max="13316" width="24.7109375" style="189" customWidth="1"/>
    <col min="13317" max="13317" width="7.28515625" style="189" customWidth="1"/>
    <col min="13318" max="13318" width="3.28515625" style="189" customWidth="1"/>
    <col min="13319" max="13319" width="6" style="189" customWidth="1"/>
    <col min="13320" max="13320" width="2.42578125" style="189" customWidth="1"/>
    <col min="13321" max="13321" width="24.7109375" style="189" customWidth="1"/>
    <col min="13322" max="13322" width="7.28515625" style="189" customWidth="1"/>
    <col min="13323" max="13323" width="3.28515625" style="189" customWidth="1"/>
    <col min="13324" max="13324" width="6.140625" style="189" customWidth="1"/>
    <col min="13325" max="13325" width="2.42578125" style="189" customWidth="1"/>
    <col min="13326" max="13326" width="24.7109375" style="189" customWidth="1"/>
    <col min="13327" max="13327" width="7.28515625" style="189" customWidth="1"/>
    <col min="13328" max="13568" width="11.42578125" style="189"/>
    <col min="13569" max="13569" width="5.7109375" style="189" customWidth="1"/>
    <col min="13570" max="13570" width="6" style="189" customWidth="1"/>
    <col min="13571" max="13571" width="2.42578125" style="189" customWidth="1"/>
    <col min="13572" max="13572" width="24.7109375" style="189" customWidth="1"/>
    <col min="13573" max="13573" width="7.28515625" style="189" customWidth="1"/>
    <col min="13574" max="13574" width="3.28515625" style="189" customWidth="1"/>
    <col min="13575" max="13575" width="6" style="189" customWidth="1"/>
    <col min="13576" max="13576" width="2.42578125" style="189" customWidth="1"/>
    <col min="13577" max="13577" width="24.7109375" style="189" customWidth="1"/>
    <col min="13578" max="13578" width="7.28515625" style="189" customWidth="1"/>
    <col min="13579" max="13579" width="3.28515625" style="189" customWidth="1"/>
    <col min="13580" max="13580" width="6.140625" style="189" customWidth="1"/>
    <col min="13581" max="13581" width="2.42578125" style="189" customWidth="1"/>
    <col min="13582" max="13582" width="24.7109375" style="189" customWidth="1"/>
    <col min="13583" max="13583" width="7.28515625" style="189" customWidth="1"/>
    <col min="13584" max="13824" width="11.42578125" style="189"/>
    <col min="13825" max="13825" width="5.7109375" style="189" customWidth="1"/>
    <col min="13826" max="13826" width="6" style="189" customWidth="1"/>
    <col min="13827" max="13827" width="2.42578125" style="189" customWidth="1"/>
    <col min="13828" max="13828" width="24.7109375" style="189" customWidth="1"/>
    <col min="13829" max="13829" width="7.28515625" style="189" customWidth="1"/>
    <col min="13830" max="13830" width="3.28515625" style="189" customWidth="1"/>
    <col min="13831" max="13831" width="6" style="189" customWidth="1"/>
    <col min="13832" max="13832" width="2.42578125" style="189" customWidth="1"/>
    <col min="13833" max="13833" width="24.7109375" style="189" customWidth="1"/>
    <col min="13834" max="13834" width="7.28515625" style="189" customWidth="1"/>
    <col min="13835" max="13835" width="3.28515625" style="189" customWidth="1"/>
    <col min="13836" max="13836" width="6.140625" style="189" customWidth="1"/>
    <col min="13837" max="13837" width="2.42578125" style="189" customWidth="1"/>
    <col min="13838" max="13838" width="24.7109375" style="189" customWidth="1"/>
    <col min="13839" max="13839" width="7.28515625" style="189" customWidth="1"/>
    <col min="13840" max="14080" width="11.42578125" style="189"/>
    <col min="14081" max="14081" width="5.7109375" style="189" customWidth="1"/>
    <col min="14082" max="14082" width="6" style="189" customWidth="1"/>
    <col min="14083" max="14083" width="2.42578125" style="189" customWidth="1"/>
    <col min="14084" max="14084" width="24.7109375" style="189" customWidth="1"/>
    <col min="14085" max="14085" width="7.28515625" style="189" customWidth="1"/>
    <col min="14086" max="14086" width="3.28515625" style="189" customWidth="1"/>
    <col min="14087" max="14087" width="6" style="189" customWidth="1"/>
    <col min="14088" max="14088" width="2.42578125" style="189" customWidth="1"/>
    <col min="14089" max="14089" width="24.7109375" style="189" customWidth="1"/>
    <col min="14090" max="14090" width="7.28515625" style="189" customWidth="1"/>
    <col min="14091" max="14091" width="3.28515625" style="189" customWidth="1"/>
    <col min="14092" max="14092" width="6.140625" style="189" customWidth="1"/>
    <col min="14093" max="14093" width="2.42578125" style="189" customWidth="1"/>
    <col min="14094" max="14094" width="24.7109375" style="189" customWidth="1"/>
    <col min="14095" max="14095" width="7.28515625" style="189" customWidth="1"/>
    <col min="14096" max="14336" width="11.42578125" style="189"/>
    <col min="14337" max="14337" width="5.7109375" style="189" customWidth="1"/>
    <col min="14338" max="14338" width="6" style="189" customWidth="1"/>
    <col min="14339" max="14339" width="2.42578125" style="189" customWidth="1"/>
    <col min="14340" max="14340" width="24.7109375" style="189" customWidth="1"/>
    <col min="14341" max="14341" width="7.28515625" style="189" customWidth="1"/>
    <col min="14342" max="14342" width="3.28515625" style="189" customWidth="1"/>
    <col min="14343" max="14343" width="6" style="189" customWidth="1"/>
    <col min="14344" max="14344" width="2.42578125" style="189" customWidth="1"/>
    <col min="14345" max="14345" width="24.7109375" style="189" customWidth="1"/>
    <col min="14346" max="14346" width="7.28515625" style="189" customWidth="1"/>
    <col min="14347" max="14347" width="3.28515625" style="189" customWidth="1"/>
    <col min="14348" max="14348" width="6.140625" style="189" customWidth="1"/>
    <col min="14349" max="14349" width="2.42578125" style="189" customWidth="1"/>
    <col min="14350" max="14350" width="24.7109375" style="189" customWidth="1"/>
    <col min="14351" max="14351" width="7.28515625" style="189" customWidth="1"/>
    <col min="14352" max="14592" width="11.42578125" style="189"/>
    <col min="14593" max="14593" width="5.7109375" style="189" customWidth="1"/>
    <col min="14594" max="14594" width="6" style="189" customWidth="1"/>
    <col min="14595" max="14595" width="2.42578125" style="189" customWidth="1"/>
    <col min="14596" max="14596" width="24.7109375" style="189" customWidth="1"/>
    <col min="14597" max="14597" width="7.28515625" style="189" customWidth="1"/>
    <col min="14598" max="14598" width="3.28515625" style="189" customWidth="1"/>
    <col min="14599" max="14599" width="6" style="189" customWidth="1"/>
    <col min="14600" max="14600" width="2.42578125" style="189" customWidth="1"/>
    <col min="14601" max="14601" width="24.7109375" style="189" customWidth="1"/>
    <col min="14602" max="14602" width="7.28515625" style="189" customWidth="1"/>
    <col min="14603" max="14603" width="3.28515625" style="189" customWidth="1"/>
    <col min="14604" max="14604" width="6.140625" style="189" customWidth="1"/>
    <col min="14605" max="14605" width="2.42578125" style="189" customWidth="1"/>
    <col min="14606" max="14606" width="24.7109375" style="189" customWidth="1"/>
    <col min="14607" max="14607" width="7.28515625" style="189" customWidth="1"/>
    <col min="14608" max="14848" width="11.42578125" style="189"/>
    <col min="14849" max="14849" width="5.7109375" style="189" customWidth="1"/>
    <col min="14850" max="14850" width="6" style="189" customWidth="1"/>
    <col min="14851" max="14851" width="2.42578125" style="189" customWidth="1"/>
    <col min="14852" max="14852" width="24.7109375" style="189" customWidth="1"/>
    <col min="14853" max="14853" width="7.28515625" style="189" customWidth="1"/>
    <col min="14854" max="14854" width="3.28515625" style="189" customWidth="1"/>
    <col min="14855" max="14855" width="6" style="189" customWidth="1"/>
    <col min="14856" max="14856" width="2.42578125" style="189" customWidth="1"/>
    <col min="14857" max="14857" width="24.7109375" style="189" customWidth="1"/>
    <col min="14858" max="14858" width="7.28515625" style="189" customWidth="1"/>
    <col min="14859" max="14859" width="3.28515625" style="189" customWidth="1"/>
    <col min="14860" max="14860" width="6.140625" style="189" customWidth="1"/>
    <col min="14861" max="14861" width="2.42578125" style="189" customWidth="1"/>
    <col min="14862" max="14862" width="24.7109375" style="189" customWidth="1"/>
    <col min="14863" max="14863" width="7.28515625" style="189" customWidth="1"/>
    <col min="14864" max="15104" width="11.42578125" style="189"/>
    <col min="15105" max="15105" width="5.7109375" style="189" customWidth="1"/>
    <col min="15106" max="15106" width="6" style="189" customWidth="1"/>
    <col min="15107" max="15107" width="2.42578125" style="189" customWidth="1"/>
    <col min="15108" max="15108" width="24.7109375" style="189" customWidth="1"/>
    <col min="15109" max="15109" width="7.28515625" style="189" customWidth="1"/>
    <col min="15110" max="15110" width="3.28515625" style="189" customWidth="1"/>
    <col min="15111" max="15111" width="6" style="189" customWidth="1"/>
    <col min="15112" max="15112" width="2.42578125" style="189" customWidth="1"/>
    <col min="15113" max="15113" width="24.7109375" style="189" customWidth="1"/>
    <col min="15114" max="15114" width="7.28515625" style="189" customWidth="1"/>
    <col min="15115" max="15115" width="3.28515625" style="189" customWidth="1"/>
    <col min="15116" max="15116" width="6.140625" style="189" customWidth="1"/>
    <col min="15117" max="15117" width="2.42578125" style="189" customWidth="1"/>
    <col min="15118" max="15118" width="24.7109375" style="189" customWidth="1"/>
    <col min="15119" max="15119" width="7.28515625" style="189" customWidth="1"/>
    <col min="15120" max="15360" width="11.42578125" style="189"/>
    <col min="15361" max="15361" width="5.7109375" style="189" customWidth="1"/>
    <col min="15362" max="15362" width="6" style="189" customWidth="1"/>
    <col min="15363" max="15363" width="2.42578125" style="189" customWidth="1"/>
    <col min="15364" max="15364" width="24.7109375" style="189" customWidth="1"/>
    <col min="15365" max="15365" width="7.28515625" style="189" customWidth="1"/>
    <col min="15366" max="15366" width="3.28515625" style="189" customWidth="1"/>
    <col min="15367" max="15367" width="6" style="189" customWidth="1"/>
    <col min="15368" max="15368" width="2.42578125" style="189" customWidth="1"/>
    <col min="15369" max="15369" width="24.7109375" style="189" customWidth="1"/>
    <col min="15370" max="15370" width="7.28515625" style="189" customWidth="1"/>
    <col min="15371" max="15371" width="3.28515625" style="189" customWidth="1"/>
    <col min="15372" max="15372" width="6.140625" style="189" customWidth="1"/>
    <col min="15373" max="15373" width="2.42578125" style="189" customWidth="1"/>
    <col min="15374" max="15374" width="24.7109375" style="189" customWidth="1"/>
    <col min="15375" max="15375" width="7.28515625" style="189" customWidth="1"/>
    <col min="15376" max="15616" width="11.42578125" style="189"/>
    <col min="15617" max="15617" width="5.7109375" style="189" customWidth="1"/>
    <col min="15618" max="15618" width="6" style="189" customWidth="1"/>
    <col min="15619" max="15619" width="2.42578125" style="189" customWidth="1"/>
    <col min="15620" max="15620" width="24.7109375" style="189" customWidth="1"/>
    <col min="15621" max="15621" width="7.28515625" style="189" customWidth="1"/>
    <col min="15622" max="15622" width="3.28515625" style="189" customWidth="1"/>
    <col min="15623" max="15623" width="6" style="189" customWidth="1"/>
    <col min="15624" max="15624" width="2.42578125" style="189" customWidth="1"/>
    <col min="15625" max="15625" width="24.7109375" style="189" customWidth="1"/>
    <col min="15626" max="15626" width="7.28515625" style="189" customWidth="1"/>
    <col min="15627" max="15627" width="3.28515625" style="189" customWidth="1"/>
    <col min="15628" max="15628" width="6.140625" style="189" customWidth="1"/>
    <col min="15629" max="15629" width="2.42578125" style="189" customWidth="1"/>
    <col min="15630" max="15630" width="24.7109375" style="189" customWidth="1"/>
    <col min="15631" max="15631" width="7.28515625" style="189" customWidth="1"/>
    <col min="15632" max="15872" width="11.42578125" style="189"/>
    <col min="15873" max="15873" width="5.7109375" style="189" customWidth="1"/>
    <col min="15874" max="15874" width="6" style="189" customWidth="1"/>
    <col min="15875" max="15875" width="2.42578125" style="189" customWidth="1"/>
    <col min="15876" max="15876" width="24.7109375" style="189" customWidth="1"/>
    <col min="15877" max="15877" width="7.28515625" style="189" customWidth="1"/>
    <col min="15878" max="15878" width="3.28515625" style="189" customWidth="1"/>
    <col min="15879" max="15879" width="6" style="189" customWidth="1"/>
    <col min="15880" max="15880" width="2.42578125" style="189" customWidth="1"/>
    <col min="15881" max="15881" width="24.7109375" style="189" customWidth="1"/>
    <col min="15882" max="15882" width="7.28515625" style="189" customWidth="1"/>
    <col min="15883" max="15883" width="3.28515625" style="189" customWidth="1"/>
    <col min="15884" max="15884" width="6.140625" style="189" customWidth="1"/>
    <col min="15885" max="15885" width="2.42578125" style="189" customWidth="1"/>
    <col min="15886" max="15886" width="24.7109375" style="189" customWidth="1"/>
    <col min="15887" max="15887" width="7.28515625" style="189" customWidth="1"/>
    <col min="15888" max="16128" width="11.42578125" style="189"/>
    <col min="16129" max="16129" width="5.7109375" style="189" customWidth="1"/>
    <col min="16130" max="16130" width="6" style="189" customWidth="1"/>
    <col min="16131" max="16131" width="2.42578125" style="189" customWidth="1"/>
    <col min="16132" max="16132" width="24.7109375" style="189" customWidth="1"/>
    <col min="16133" max="16133" width="7.28515625" style="189" customWidth="1"/>
    <col min="16134" max="16134" width="3.28515625" style="189" customWidth="1"/>
    <col min="16135" max="16135" width="6" style="189" customWidth="1"/>
    <col min="16136" max="16136" width="2.42578125" style="189" customWidth="1"/>
    <col min="16137" max="16137" width="24.7109375" style="189" customWidth="1"/>
    <col min="16138" max="16138" width="7.28515625" style="189" customWidth="1"/>
    <col min="16139" max="16139" width="3.28515625" style="189" customWidth="1"/>
    <col min="16140" max="16140" width="6.140625" style="189" customWidth="1"/>
    <col min="16141" max="16141" width="2.42578125" style="189" customWidth="1"/>
    <col min="16142" max="16142" width="24.7109375" style="189" customWidth="1"/>
    <col min="16143" max="16143" width="7.28515625" style="189" customWidth="1"/>
    <col min="16144" max="16384" width="11.42578125" style="189"/>
  </cols>
  <sheetData>
    <row r="1" spans="1:55" ht="31.5" customHeight="1" thickBot="1">
      <c r="C1" s="427" t="s">
        <v>92</v>
      </c>
      <c r="D1" s="428"/>
      <c r="E1" s="428"/>
      <c r="F1" s="428"/>
      <c r="G1" s="428"/>
      <c r="H1" s="428"/>
      <c r="I1" s="428"/>
      <c r="J1" s="428"/>
      <c r="K1" s="428"/>
      <c r="L1" s="429"/>
      <c r="M1" s="430" t="s">
        <v>107</v>
      </c>
      <c r="N1" s="431"/>
      <c r="O1" s="432"/>
    </row>
    <row r="2" spans="1:55" ht="31.5" customHeight="1" thickBot="1">
      <c r="C2" s="433" t="s">
        <v>103</v>
      </c>
      <c r="D2" s="434"/>
      <c r="E2" s="434"/>
      <c r="F2" s="434"/>
      <c r="G2" s="434"/>
      <c r="H2" s="434"/>
      <c r="I2" s="434"/>
      <c r="J2" s="434"/>
      <c r="K2" s="434"/>
      <c r="L2" s="435"/>
      <c r="M2" s="436" t="s">
        <v>138</v>
      </c>
      <c r="N2" s="437"/>
      <c r="O2" s="438"/>
    </row>
    <row r="3" spans="1:55" ht="7.9" customHeight="1" thickBot="1"/>
    <row r="4" spans="1:55" ht="25.5" customHeight="1" thickBot="1">
      <c r="C4" s="424" t="s">
        <v>2</v>
      </c>
      <c r="D4" s="425"/>
      <c r="E4" s="425"/>
      <c r="F4" s="426"/>
      <c r="G4" s="190"/>
      <c r="H4" s="190"/>
      <c r="I4" s="190"/>
      <c r="J4" s="190"/>
      <c r="K4" s="190"/>
      <c r="L4" s="190"/>
      <c r="M4" s="424" t="s">
        <v>3</v>
      </c>
      <c r="N4" s="425"/>
      <c r="O4" s="425"/>
      <c r="P4" s="426"/>
      <c r="W4" s="424" t="s">
        <v>4</v>
      </c>
      <c r="X4" s="425"/>
      <c r="Y4" s="425"/>
      <c r="Z4" s="4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Y4" s="406" t="s">
        <v>53</v>
      </c>
      <c r="AZ4" s="407"/>
      <c r="BA4" s="407"/>
      <c r="BB4" s="407"/>
      <c r="BC4" s="408"/>
    </row>
    <row r="5" spans="1:55" ht="7.9" customHeight="1"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W5" s="186"/>
      <c r="X5" s="186"/>
      <c r="Y5" s="186"/>
    </row>
    <row r="6" spans="1:55" ht="21.75" customHeight="1" thickBot="1">
      <c r="A6" s="189" t="s">
        <v>5</v>
      </c>
      <c r="C6" s="189" t="s">
        <v>6</v>
      </c>
      <c r="E6" s="191" t="s">
        <v>7</v>
      </c>
      <c r="F6" s="191" t="s">
        <v>8</v>
      </c>
      <c r="G6" s="191"/>
      <c r="H6" s="191"/>
      <c r="I6" s="191"/>
      <c r="J6" s="191"/>
      <c r="K6" s="191"/>
      <c r="L6" s="191"/>
      <c r="M6" s="189" t="s">
        <v>6</v>
      </c>
      <c r="O6" s="191" t="s">
        <v>7</v>
      </c>
      <c r="P6" s="191" t="s">
        <v>8</v>
      </c>
      <c r="W6" s="189" t="s">
        <v>6</v>
      </c>
      <c r="Y6" s="191" t="s">
        <v>7</v>
      </c>
      <c r="Z6" s="191" t="s">
        <v>8</v>
      </c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Z6" s="186" t="s">
        <v>54</v>
      </c>
      <c r="BA6" s="192" t="s">
        <v>55</v>
      </c>
      <c r="BB6" s="192" t="s">
        <v>56</v>
      </c>
      <c r="BC6" s="192" t="s">
        <v>57</v>
      </c>
    </row>
    <row r="7" spans="1:55" ht="24.95" customHeight="1">
      <c r="A7" s="410">
        <v>1</v>
      </c>
      <c r="B7" s="193">
        <v>1</v>
      </c>
      <c r="C7" s="419">
        <v>1</v>
      </c>
      <c r="D7" s="194"/>
      <c r="E7" s="195" t="str">
        <f>IF(ISNA(MATCH(B7,'Liste Equipes_Tirage'!$D$2:$D$37,0)),"",INDEX('Liste Equipes_Tirage'!$B$2:$B$37,MATCH(B7,'Liste Equipes_Tirage'!$D$2:$D$37,0)))</f>
        <v>CHAMP Luc</v>
      </c>
      <c r="F7" s="235"/>
      <c r="G7" s="197"/>
      <c r="H7" s="197"/>
      <c r="I7" s="197"/>
      <c r="J7" s="197"/>
      <c r="K7" s="197"/>
      <c r="L7" s="197"/>
      <c r="M7" s="300">
        <v>5</v>
      </c>
      <c r="N7" s="198"/>
      <c r="O7" s="199" t="str">
        <f>E7</f>
        <v>CHAMP Luc</v>
      </c>
      <c r="P7" s="196"/>
      <c r="Q7" s="200"/>
      <c r="R7" s="200"/>
      <c r="S7" s="200"/>
      <c r="T7" s="200"/>
      <c r="U7" s="200"/>
      <c r="V7" s="200"/>
      <c r="W7" s="300">
        <v>8</v>
      </c>
      <c r="X7" s="198"/>
      <c r="Y7" s="199" t="str">
        <f>E7</f>
        <v>CHAMP Luc</v>
      </c>
      <c r="Z7" s="196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201"/>
      <c r="AT7" s="201"/>
      <c r="AU7" s="201"/>
      <c r="AV7" s="201"/>
      <c r="AW7" s="201"/>
      <c r="AX7" s="201"/>
      <c r="AY7" s="243" t="str">
        <f t="shared" ref="AY7:AY14" si="0">+E7</f>
        <v>CHAMP Luc</v>
      </c>
      <c r="AZ7" s="244">
        <f>SUM(BA7:BC7)</f>
        <v>0</v>
      </c>
      <c r="BA7" s="245">
        <f t="array" ref="BA7">IF(OR(E7:E8="OFFICE"),0,IF(F7&gt;F8,1,0))</f>
        <v>0</v>
      </c>
      <c r="BB7" s="246">
        <f t="array" ref="BB7">IF(OR(O7:O8="OFFICE"),0,IF(P7&gt;P8,1,0))</f>
        <v>0</v>
      </c>
      <c r="BC7" s="247">
        <f t="array" ref="BC7">IF(OR(Y7:Y8="OFFICE"),0,IF(Z7&gt;Z8,1,0))</f>
        <v>0</v>
      </c>
    </row>
    <row r="8" spans="1:55" ht="24.95" customHeight="1" thickBot="1">
      <c r="A8" s="411"/>
      <c r="B8" s="202">
        <v>2</v>
      </c>
      <c r="C8" s="418"/>
      <c r="D8" s="203"/>
      <c r="E8" s="204" t="str">
        <f>IF(ISNA(MATCH(B8,'Liste Equipes_Tirage'!$D$2:$D$37,0)),"",INDEX('Liste Equipes_Tirage'!$B$2:$B$37,MATCH(B8,'Liste Equipes_Tirage'!$D$2:$D$37,0)))</f>
        <v xml:space="preserve">CHOSSON Benjamin </v>
      </c>
      <c r="F8" s="251"/>
      <c r="G8" s="197"/>
      <c r="H8" s="197"/>
      <c r="I8" s="197"/>
      <c r="J8" s="197"/>
      <c r="K8" s="197"/>
      <c r="L8" s="197"/>
      <c r="M8" s="301"/>
      <c r="N8" s="207"/>
      <c r="O8" s="208" t="str">
        <f>E9</f>
        <v>ISIDORE SERGE</v>
      </c>
      <c r="P8" s="205"/>
      <c r="Q8" s="200"/>
      <c r="R8" s="200"/>
      <c r="S8" s="200"/>
      <c r="T8" s="200"/>
      <c r="U8" s="200"/>
      <c r="V8" s="200"/>
      <c r="W8" s="301"/>
      <c r="X8" s="207"/>
      <c r="Y8" s="208" t="str">
        <f>E10</f>
        <v>TOULOUZE Jean-louis</v>
      </c>
      <c r="Z8" s="205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201"/>
      <c r="AT8" s="201"/>
      <c r="AU8" s="201"/>
      <c r="AV8" s="201"/>
      <c r="AW8" s="201"/>
      <c r="AX8" s="201"/>
      <c r="AY8" s="184" t="str">
        <f t="shared" si="0"/>
        <v xml:space="preserve">CHOSSON Benjamin </v>
      </c>
      <c r="AZ8" s="257">
        <f t="shared" ref="AZ8:AZ14" si="1">SUM(BA8:BC8)</f>
        <v>0</v>
      </c>
      <c r="BA8" s="258">
        <f t="array" ref="BA8">IF(OR(E7:E8="OFFICE"),0,IF(F7&lt;F8,1,0))</f>
        <v>0</v>
      </c>
      <c r="BB8" s="183">
        <f t="array" ref="BB8">IF(OR(O9:O10="OFFICE"),0,IF(P9&gt;P10,1,0))</f>
        <v>0</v>
      </c>
      <c r="BC8" s="259">
        <f t="array" ref="BC8">IF(OR(Y9:Y10="OFFICE"),0,IF(Z9&gt;Z10,1,0))</f>
        <v>0</v>
      </c>
    </row>
    <row r="9" spans="1:55" ht="24.95" customHeight="1">
      <c r="A9" s="411"/>
      <c r="B9" s="202">
        <v>3</v>
      </c>
      <c r="C9" s="419">
        <v>2</v>
      </c>
      <c r="D9" s="194"/>
      <c r="E9" s="195" t="str">
        <f>IF(ISNA(MATCH(B9,'Liste Equipes_Tirage'!$D$2:$D$37,0)),"",INDEX('Liste Equipes_Tirage'!$B$2:$B$37,MATCH(B9,'Liste Equipes_Tirage'!$D$2:$D$37,0)))</f>
        <v>ISIDORE SERGE</v>
      </c>
      <c r="F9" s="235"/>
      <c r="G9" s="197"/>
      <c r="H9" s="197"/>
      <c r="I9" s="197"/>
      <c r="J9" s="197"/>
      <c r="K9" s="197"/>
      <c r="L9" s="197"/>
      <c r="M9" s="300">
        <v>6</v>
      </c>
      <c r="N9" s="198"/>
      <c r="O9" s="209" t="str">
        <f>E8</f>
        <v xml:space="preserve">CHOSSON Benjamin </v>
      </c>
      <c r="P9" s="196"/>
      <c r="Q9" s="200"/>
      <c r="R9" s="200"/>
      <c r="S9" s="200"/>
      <c r="T9" s="200"/>
      <c r="U9" s="200"/>
      <c r="V9" s="200"/>
      <c r="W9" s="300">
        <v>7</v>
      </c>
      <c r="X9" s="198"/>
      <c r="Y9" s="209" t="str">
        <f>E8</f>
        <v xml:space="preserve">CHOSSON Benjamin </v>
      </c>
      <c r="Z9" s="196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201"/>
      <c r="AT9" s="201"/>
      <c r="AU9" s="201"/>
      <c r="AV9" s="201"/>
      <c r="AW9" s="201"/>
      <c r="AX9" s="201"/>
      <c r="AY9" s="184" t="str">
        <f t="shared" si="0"/>
        <v>ISIDORE SERGE</v>
      </c>
      <c r="AZ9" s="257">
        <f t="shared" si="1"/>
        <v>0</v>
      </c>
      <c r="BA9" s="258">
        <f t="array" ref="BA9">IF(OR(E9:E10="OFFICE"),0,IF(F9&gt;F10,1,0))</f>
        <v>0</v>
      </c>
      <c r="BB9" s="183">
        <f t="array" ref="BB9">IF(OR(O7:O8="OFFICE"),0,IF(P8&gt;P7,1,0))</f>
        <v>0</v>
      </c>
      <c r="BC9" s="259">
        <f>IF(OR(Y9:Y10="OFFICE"),0,IF(Z10&gt;Z9,1,0))</f>
        <v>0</v>
      </c>
    </row>
    <row r="10" spans="1:55" ht="24.95" customHeight="1" thickBot="1">
      <c r="A10" s="420"/>
      <c r="B10" s="202">
        <v>4</v>
      </c>
      <c r="C10" s="421"/>
      <c r="D10" s="210"/>
      <c r="E10" s="204" t="str">
        <f>IF(ISNA(MATCH(B10,'Liste Equipes_Tirage'!$D$2:$D$37,0)),"",INDEX('Liste Equipes_Tirage'!$B$2:$B$37,MATCH(B10,'Liste Equipes_Tirage'!$D$2:$D$37,0)))</f>
        <v>TOULOUZE Jean-louis</v>
      </c>
      <c r="F10" s="260"/>
      <c r="G10" s="211"/>
      <c r="H10" s="211"/>
      <c r="I10" s="211"/>
      <c r="J10" s="211"/>
      <c r="K10" s="211"/>
      <c r="L10" s="211"/>
      <c r="M10" s="302"/>
      <c r="N10" s="212"/>
      <c r="O10" s="213" t="str">
        <f>E10</f>
        <v>TOULOUZE Jean-louis</v>
      </c>
      <c r="P10" s="261"/>
      <c r="Q10" s="214"/>
      <c r="R10" s="214"/>
      <c r="S10" s="214"/>
      <c r="T10" s="214"/>
      <c r="U10" s="214"/>
      <c r="V10" s="214"/>
      <c r="W10" s="302"/>
      <c r="X10" s="212"/>
      <c r="Y10" s="213" t="str">
        <f>E9</f>
        <v>ISIDORE SERGE</v>
      </c>
      <c r="Z10" s="261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Y10" s="262" t="str">
        <f t="shared" si="0"/>
        <v>TOULOUZE Jean-louis</v>
      </c>
      <c r="AZ10" s="263">
        <f t="shared" si="1"/>
        <v>0</v>
      </c>
      <c r="BA10" s="394">
        <f t="array" ref="BA10">IF(OR(E9:E10="OFFICE"),0,IF(F9&lt;F10,1,0))</f>
        <v>0</v>
      </c>
      <c r="BB10" s="264">
        <f t="array" ref="BB10">IF(OR(O9:O10="OFFICE"),0,IF(P10&gt;P9,1,0))</f>
        <v>0</v>
      </c>
      <c r="BC10" s="265">
        <f t="array" ref="BC10">IF(OR(Y7:Y8="OFFICE"),0,IF(Z8&gt;Z7,1,0))</f>
        <v>0</v>
      </c>
    </row>
    <row r="11" spans="1:55" ht="24.95" customHeight="1" thickTop="1">
      <c r="A11" s="416">
        <v>2</v>
      </c>
      <c r="B11" s="202">
        <v>5</v>
      </c>
      <c r="C11" s="417">
        <v>3</v>
      </c>
      <c r="D11" s="215"/>
      <c r="E11" s="195" t="str">
        <f>IF(ISNA(MATCH(B11,'Liste Equipes_Tirage'!$D$2:$D$37,0)),"",INDEX('Liste Equipes_Tirage'!$B$2:$B$37,MATCH(B11,'Liste Equipes_Tirage'!$D$2:$D$37,0)))</f>
        <v>BROUSSET Lilian</v>
      </c>
      <c r="F11" s="235"/>
      <c r="G11" s="216"/>
      <c r="H11" s="216"/>
      <c r="I11" s="216"/>
      <c r="J11" s="216"/>
      <c r="K11" s="216"/>
      <c r="L11" s="216"/>
      <c r="M11" s="303">
        <v>7</v>
      </c>
      <c r="N11" s="217"/>
      <c r="O11" s="218" t="str">
        <f>E11</f>
        <v>BROUSSET Lilian</v>
      </c>
      <c r="P11" s="196"/>
      <c r="Q11" s="219"/>
      <c r="R11" s="219"/>
      <c r="S11" s="219"/>
      <c r="T11" s="219"/>
      <c r="U11" s="219"/>
      <c r="V11" s="219"/>
      <c r="W11" s="303">
        <v>6</v>
      </c>
      <c r="X11" s="217"/>
      <c r="Y11" s="218" t="str">
        <f>E11</f>
        <v>BROUSSET Lilian</v>
      </c>
      <c r="Z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Y11" s="243" t="str">
        <f t="shared" si="0"/>
        <v>BROUSSET Lilian</v>
      </c>
      <c r="AZ11" s="244">
        <f t="shared" si="1"/>
        <v>0</v>
      </c>
      <c r="BA11" s="245">
        <f t="array" ref="BA11">IF(OR(E11:E12="OFFICE"),0,IF(F11&gt;F12,1,0))</f>
        <v>0</v>
      </c>
      <c r="BB11" s="246">
        <f t="array" ref="BB11">IF(OR(O11:O12="OFFICE"),0,IF(P11&gt;P12,1,0))</f>
        <v>0</v>
      </c>
      <c r="BC11" s="247">
        <f t="array" ref="BC11">IF(OR(Y11:Y12="OFFICE"),0,IF(Z11&gt;Z12,1,0))</f>
        <v>0</v>
      </c>
    </row>
    <row r="12" spans="1:55" ht="24.95" customHeight="1" thickBot="1">
      <c r="A12" s="411"/>
      <c r="B12" s="202">
        <v>6</v>
      </c>
      <c r="C12" s="418"/>
      <c r="D12" s="203"/>
      <c r="E12" s="204" t="str">
        <f>IF(ISNA(MATCH(B12,'Liste Equipes_Tirage'!$D$2:$D$37,0)),"",INDEX('Liste Equipes_Tirage'!$B$2:$B$37,MATCH(B12,'Liste Equipes_Tirage'!$D$2:$D$37,0)))</f>
        <v>GERLAND JACQUES</v>
      </c>
      <c r="F12" s="205"/>
      <c r="G12" s="197"/>
      <c r="H12" s="197"/>
      <c r="I12" s="197"/>
      <c r="J12" s="197"/>
      <c r="K12" s="197"/>
      <c r="L12" s="197"/>
      <c r="M12" s="301"/>
      <c r="N12" s="207"/>
      <c r="O12" s="208" t="str">
        <f>E13</f>
        <v>BOURBON Stephane</v>
      </c>
      <c r="P12" s="205"/>
      <c r="Q12" s="200"/>
      <c r="R12" s="200"/>
      <c r="S12" s="200"/>
      <c r="T12" s="200"/>
      <c r="U12" s="200"/>
      <c r="V12" s="200"/>
      <c r="W12" s="301"/>
      <c r="X12" s="207"/>
      <c r="Y12" s="208" t="str">
        <f>E14</f>
        <v xml:space="preserve">CROZE Lilian </v>
      </c>
      <c r="Z12" s="205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Y12" s="184" t="str">
        <f t="shared" si="0"/>
        <v>GERLAND JACQUES</v>
      </c>
      <c r="AZ12" s="257">
        <f t="shared" si="1"/>
        <v>0</v>
      </c>
      <c r="BA12" s="258">
        <f t="array" ref="BA12">IF(OR(E11:E12="OFFICE"),0,IF(F11&lt;F12,1,0))</f>
        <v>0</v>
      </c>
      <c r="BB12" s="183">
        <f t="array" ref="BB12">IF(OR(O13:O14="OFFICE"),0,IF(P13&gt;P14,1,0))</f>
        <v>0</v>
      </c>
      <c r="BC12" s="259">
        <f t="array" ref="BC12">IF(OR(Y13:Y14="OFFICE"),0,IF(Z13&gt;Z14,1,0))</f>
        <v>0</v>
      </c>
    </row>
    <row r="13" spans="1:55" ht="24.95" customHeight="1">
      <c r="A13" s="411"/>
      <c r="B13" s="202">
        <v>7</v>
      </c>
      <c r="C13" s="419">
        <v>4</v>
      </c>
      <c r="D13" s="194"/>
      <c r="E13" s="195" t="str">
        <f>IF(ISNA(MATCH(B13,'Liste Equipes_Tirage'!$D$2:$D$37,0)),"",INDEX('Liste Equipes_Tirage'!$B$2:$B$37,MATCH(B13,'Liste Equipes_Tirage'!$D$2:$D$37,0)))</f>
        <v>BOURBON Stephane</v>
      </c>
      <c r="F13" s="235"/>
      <c r="G13" s="197"/>
      <c r="H13" s="197"/>
      <c r="I13" s="197"/>
      <c r="J13" s="197"/>
      <c r="K13" s="197"/>
      <c r="L13" s="197"/>
      <c r="M13" s="300">
        <v>8</v>
      </c>
      <c r="N13" s="198"/>
      <c r="O13" s="209" t="str">
        <f>E12</f>
        <v>GERLAND JACQUES</v>
      </c>
      <c r="P13" s="196"/>
      <c r="Q13" s="200"/>
      <c r="R13" s="200"/>
      <c r="S13" s="200"/>
      <c r="T13" s="200"/>
      <c r="U13" s="200"/>
      <c r="V13" s="200"/>
      <c r="W13" s="300">
        <v>5</v>
      </c>
      <c r="X13" s="198"/>
      <c r="Y13" s="209" t="str">
        <f>E12</f>
        <v>GERLAND JACQUES</v>
      </c>
      <c r="Z13" s="196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Y13" s="184" t="str">
        <f t="shared" si="0"/>
        <v>BOURBON Stephane</v>
      </c>
      <c r="AZ13" s="257">
        <f t="shared" si="1"/>
        <v>0</v>
      </c>
      <c r="BA13" s="258">
        <f t="array" ref="BA13">IF(OR(E13:E14="OFFICE"),0,IF(F13&gt;F14,1,0))</f>
        <v>0</v>
      </c>
      <c r="BB13" s="183">
        <f t="array" ref="BB13">IF(OR(O11:O12="OFFICE"),0,IF(P12&gt;P11,1,0))</f>
        <v>0</v>
      </c>
      <c r="BC13" s="259">
        <f t="array" ref="BC13">IF(OR(Y13:Y14="OFFICE"),0,IF(Z14&gt;Z13,1,0))</f>
        <v>0</v>
      </c>
    </row>
    <row r="14" spans="1:55" ht="24.95" customHeight="1" thickBot="1">
      <c r="A14" s="412"/>
      <c r="B14" s="278">
        <v>8</v>
      </c>
      <c r="C14" s="418"/>
      <c r="D14" s="203"/>
      <c r="E14" s="387" t="str">
        <f>IF(ISNA(MATCH(B14,'Liste Equipes_Tirage'!$D$2:$D$37,0)),"",INDEX('Liste Equipes_Tirage'!$B$2:$B$37,MATCH(B14,'Liste Equipes_Tirage'!$D$2:$D$37,0)))</f>
        <v xml:space="preserve">CROZE Lilian </v>
      </c>
      <c r="F14" s="205"/>
      <c r="G14" s="220"/>
      <c r="H14" s="220"/>
      <c r="I14" s="220"/>
      <c r="J14" s="220"/>
      <c r="K14" s="220"/>
      <c r="L14" s="220"/>
      <c r="M14" s="206"/>
      <c r="N14" s="207"/>
      <c r="O14" s="221" t="str">
        <f>E14</f>
        <v xml:space="preserve">CROZE Lilian </v>
      </c>
      <c r="P14" s="205"/>
      <c r="Q14" s="222"/>
      <c r="R14" s="222"/>
      <c r="S14" s="222"/>
      <c r="T14" s="222"/>
      <c r="U14" s="222"/>
      <c r="V14" s="222"/>
      <c r="W14" s="301"/>
      <c r="X14" s="207"/>
      <c r="Y14" s="221" t="str">
        <f>E13</f>
        <v>BOURBON Stephane</v>
      </c>
      <c r="Z14" s="205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Y14" s="185" t="str">
        <f t="shared" si="0"/>
        <v xml:space="preserve">CROZE Lilian </v>
      </c>
      <c r="AZ14" s="274">
        <f t="shared" si="1"/>
        <v>0</v>
      </c>
      <c r="BA14" s="275">
        <f t="array" ref="BA14">IF(OR(E13:E14="OFFICE"),0,IF(F13&lt;F14,1,0))</f>
        <v>0</v>
      </c>
      <c r="BB14" s="276">
        <f t="array" ref="BB14">IF(OR(O13:O14="OFFICE"),0,IF(P14&gt;P13,1,0))</f>
        <v>0</v>
      </c>
      <c r="BC14" s="277">
        <f t="array" ref="BC14">IF(OR(Y11:Y12="OFFICE"),0,IF(Z12&gt;Z11,1,0))</f>
        <v>0</v>
      </c>
    </row>
    <row r="15" spans="1:55" ht="24" customHeight="1" thickBot="1">
      <c r="A15" s="187"/>
      <c r="B15" s="201"/>
      <c r="C15" s="186"/>
      <c r="D15" s="223"/>
      <c r="E15" s="186"/>
      <c r="G15" s="186"/>
      <c r="H15" s="186"/>
      <c r="I15" s="223"/>
      <c r="J15" s="224"/>
      <c r="K15" s="200"/>
      <c r="L15" s="200"/>
      <c r="M15" s="186"/>
      <c r="N15" s="223"/>
      <c r="O15" s="224"/>
      <c r="P15" s="200"/>
      <c r="S15" s="186"/>
      <c r="AI15" s="422" t="s">
        <v>99</v>
      </c>
      <c r="AJ15" s="423"/>
      <c r="AS15" s="351" t="s">
        <v>60</v>
      </c>
      <c r="AZ15" s="189">
        <f>SUM(AZ7:AZ14)</f>
        <v>0</v>
      </c>
    </row>
    <row r="16" spans="1:55" ht="24.95" customHeight="1" thickBot="1">
      <c r="A16" s="403"/>
      <c r="B16" s="201"/>
      <c r="C16" s="413" t="s">
        <v>2</v>
      </c>
      <c r="D16" s="414"/>
      <c r="E16" s="414"/>
      <c r="F16" s="415"/>
      <c r="G16"/>
      <c r="H16"/>
      <c r="I16"/>
      <c r="J16"/>
      <c r="K16"/>
      <c r="M16" s="413" t="s">
        <v>3</v>
      </c>
      <c r="N16" s="414"/>
      <c r="O16" s="414"/>
      <c r="P16" s="415"/>
      <c r="Q16"/>
      <c r="R16"/>
      <c r="S16"/>
      <c r="T16"/>
      <c r="U16"/>
      <c r="W16" s="413" t="s">
        <v>4</v>
      </c>
      <c r="X16" s="414"/>
      <c r="Y16" s="414"/>
      <c r="Z16" s="415"/>
      <c r="AA16"/>
      <c r="AL16" s="349" t="s">
        <v>97</v>
      </c>
      <c r="AZ16" s="409" t="s">
        <v>93</v>
      </c>
      <c r="BA16" s="409"/>
      <c r="BB16" s="409"/>
    </row>
    <row r="17" spans="1:55" ht="24" customHeight="1" thickBot="1">
      <c r="A17" s="188"/>
      <c r="B17" s="201"/>
      <c r="C17" s="226"/>
      <c r="D17" s="227"/>
      <c r="E17" s="228"/>
      <c r="F17" s="229"/>
      <c r="G17" s="225"/>
      <c r="H17" s="226"/>
      <c r="I17" s="227"/>
      <c r="J17" s="230"/>
      <c r="K17" s="231"/>
      <c r="L17" s="222"/>
      <c r="M17" s="226"/>
      <c r="N17" s="227"/>
      <c r="O17" s="230"/>
      <c r="P17" s="231"/>
      <c r="S17" s="186"/>
      <c r="AG17" s="189" t="s">
        <v>7</v>
      </c>
      <c r="AH17" s="143" t="s">
        <v>87</v>
      </c>
      <c r="AI17" s="143" t="s">
        <v>88</v>
      </c>
      <c r="AJ17" s="143" t="s">
        <v>89</v>
      </c>
      <c r="AK17" s="143" t="s">
        <v>90</v>
      </c>
      <c r="AL17" s="350" t="s">
        <v>98</v>
      </c>
      <c r="AS17" s="143" t="s">
        <v>87</v>
      </c>
      <c r="AT17" s="143" t="s">
        <v>88</v>
      </c>
      <c r="AU17" s="143" t="s">
        <v>89</v>
      </c>
      <c r="AV17" s="143" t="s">
        <v>90</v>
      </c>
      <c r="AW17" s="189" t="s">
        <v>101</v>
      </c>
    </row>
    <row r="18" spans="1:55" ht="24.95" customHeight="1" thickTop="1">
      <c r="A18" s="410">
        <v>3</v>
      </c>
      <c r="B18" s="232">
        <v>9</v>
      </c>
      <c r="C18" s="233">
        <v>5</v>
      </c>
      <c r="D18" s="234"/>
      <c r="E18" s="195" t="str">
        <f>IF(ISNA(MATCH(B18,'Liste Equipes_Tirage'!$D$2:$D$21,0)),"",INDEX('Liste Equipes_Tirage'!$B$2:$B$21,MATCH(B18,'Liste Equipes_Tirage'!$D$2:$D$21,0)))</f>
        <v xml:space="preserve">DESGACHES Jonathan </v>
      </c>
      <c r="F18" s="235"/>
      <c r="G18" s="189">
        <f>IF(F18&gt;F19,2,0)</f>
        <v>0</v>
      </c>
      <c r="H18" s="189">
        <f t="shared" ref="H18:H23" si="2">+F18</f>
        <v>0</v>
      </c>
      <c r="I18" s="189">
        <f>+F19</f>
        <v>0</v>
      </c>
      <c r="J18" s="189">
        <f>F18-F19</f>
        <v>0</v>
      </c>
      <c r="K18" s="189">
        <f>G18/2</f>
        <v>0</v>
      </c>
      <c r="L18" s="236"/>
      <c r="M18" s="233">
        <v>1</v>
      </c>
      <c r="N18" s="237"/>
      <c r="O18" s="388" t="str">
        <f>+E22</f>
        <v>AGUILERA Vincent</v>
      </c>
      <c r="P18" s="196"/>
      <c r="Q18" s="189">
        <f>IF(P18&gt;P19,2,0)</f>
        <v>0</v>
      </c>
      <c r="R18" s="189">
        <f t="shared" ref="R18:R23" si="3">+P18</f>
        <v>0</v>
      </c>
      <c r="S18" s="189">
        <f>+P19</f>
        <v>0</v>
      </c>
      <c r="T18" s="189">
        <f>P18-P19</f>
        <v>0</v>
      </c>
      <c r="U18" s="189">
        <f>Q18/2</f>
        <v>0</v>
      </c>
      <c r="V18" s="201"/>
      <c r="W18" s="238">
        <v>3</v>
      </c>
      <c r="X18" s="239"/>
      <c r="Y18" s="240" t="str">
        <f>+E18</f>
        <v xml:space="preserve">DESGACHES Jonathan </v>
      </c>
      <c r="Z18" s="196"/>
      <c r="AA18" s="189">
        <f>IF(Z18&gt;Z19,2,0)</f>
        <v>0</v>
      </c>
      <c r="AB18" s="189">
        <f t="shared" ref="AB18:AB23" si="4">+Z18</f>
        <v>0</v>
      </c>
      <c r="AC18" s="189">
        <f>+Z19</f>
        <v>0</v>
      </c>
      <c r="AD18" s="189">
        <f>Z18-Z19</f>
        <v>0</v>
      </c>
      <c r="AE18" s="189">
        <f>AA18/2</f>
        <v>0</v>
      </c>
      <c r="AF18" s="201"/>
      <c r="AG18" s="241" t="str">
        <f t="shared" ref="AG18:AG23" si="5">IF(F18&lt;&gt;"",E18," ")</f>
        <v xml:space="preserve"> </v>
      </c>
      <c r="AH18" s="331">
        <f>SUM(IFERROR(VLOOKUP(AG18,$E$18:$H$23,3,0),0),IFERROR(VLOOKUP(AG18,$O$18:$Q$23,3,0),0),IFERROR(VLOOKUP(AG18,$Y$18:$AA$23,3,0),0))</f>
        <v>0</v>
      </c>
      <c r="AI18" s="242">
        <f>SUM(IFERROR(VLOOKUP(AG18,$E$18:$M$23,4,0),0),IFERROR(VLOOKUP(AG18,$O$18:$R$23,4,0),0),IFERROR(VLOOKUP(AG18,$Y$18:$AB$23,4,0),0))</f>
        <v>0</v>
      </c>
      <c r="AJ18" s="242">
        <f>SUM(IFERROR(VLOOKUP(AG18,$E$18:$I$23,5,0),0),IFERROR(VLOOKUP(AG18,$O$18:$S$23,5,0),0),IFERROR(VLOOKUP(AG18,$Y$18:$AC$23,5,0),0))</f>
        <v>0</v>
      </c>
      <c r="AK18" s="242">
        <f t="shared" ref="AK18:AK23" si="6">AI18-AJ18</f>
        <v>0</v>
      </c>
      <c r="AL18" s="352">
        <v>0</v>
      </c>
      <c r="AM18" s="393">
        <f>IF(AL18=1,3,IF(AL18=2,2,IF(AL18=3,1,0)))</f>
        <v>0</v>
      </c>
      <c r="AN18" s="182">
        <f>IF(OR(AG18="",AH18="",AI18="",AK18=""),"",RANK(AH18,$AH$18:$AH$23)+SUM(-AK18/1000)-(+AI18/10000)-(+AM18/1000000)+COUNTIF($AG$18:$AG$23,"&lt;="&amp;AG18+1)/10000000000+ROW()/100000000000)</f>
        <v>2.00000000018</v>
      </c>
      <c r="AO18" s="183">
        <f>IF(AG18="","",SMALL(AN$18:AN$23,ROWS(AO18:AO$18)))</f>
        <v>0.99270000022000005</v>
      </c>
      <c r="AQ18" s="243">
        <f>IF(AO18="","",1)</f>
        <v>1</v>
      </c>
      <c r="AR18" s="368" t="str">
        <f t="shared" ref="AR18:AR23" si="7">IF(OR(AG18="",AH18=""),"",INDEX(AG$18:AG$23,MATCH(AO18,AN$18:AN$23,0)))</f>
        <v>AGUILERA Vincent</v>
      </c>
      <c r="AS18" s="372">
        <f t="shared" ref="AS18:AS23" si="8">IF(OR(AG18="",AH18=""),"",INDEX(AH$18:AH$23,MATCH(AO18,$AN$18:$AN$23,0)))</f>
        <v>2</v>
      </c>
      <c r="AT18" s="335">
        <f t="shared" ref="AT18:AT23" si="9">IF(OR(AG18="",AH18=""),"",INDEX(AI$18:AI$23,MATCH(AO18,$AN$18:$AN$23,0)))</f>
        <v>13</v>
      </c>
      <c r="AU18" s="367">
        <f>IF(OR(AG18="",AH18=""),"",INDEX(AJ$18:AJ$23,MATCH(AO18,$AN$18:$AN$23,0)))</f>
        <v>7</v>
      </c>
      <c r="AV18" s="368">
        <f t="shared" ref="AV18" si="10">AT18-AU18</f>
        <v>6</v>
      </c>
      <c r="AW18" s="364">
        <f>IF(OR(AG18="",AL18=""),"",INDEX(AL$18:AL$23,MATCH(AO18,$AN$18:$AN$23,0)))</f>
        <v>0</v>
      </c>
      <c r="AX18" s="201"/>
      <c r="AY18" s="243" t="str">
        <f>E18</f>
        <v xml:space="preserve">DESGACHES Jonathan </v>
      </c>
      <c r="AZ18" s="244">
        <f>SUM(BA18:BC18)</f>
        <v>0</v>
      </c>
      <c r="BA18" s="245">
        <f t="array" ref="BA18">IF(OR(E18:E19="OFFICE"),0,IF(F18&gt;F19,1,0))</f>
        <v>0</v>
      </c>
      <c r="BB18" s="246">
        <f t="array" ref="BB18">IF(OR(O20:O21="OFFICE"),0,IF(P20&gt;P21,1,0))</f>
        <v>0</v>
      </c>
      <c r="BC18" s="247">
        <f t="array" ref="BC18">IF(OR(Y18:Y19="OFFICE"),0,IF(Z18&gt;Z19,1,0))</f>
        <v>0</v>
      </c>
    </row>
    <row r="19" spans="1:55" ht="24.95" customHeight="1" thickBot="1">
      <c r="A19" s="411"/>
      <c r="B19" s="248">
        <v>10</v>
      </c>
      <c r="C19" s="249"/>
      <c r="D19" s="250"/>
      <c r="E19" s="384" t="str">
        <f>IF(ISNA(MATCH(B19,'Liste Equipes_Tirage'!$D$2:$D$21,0)),"",INDEX('Liste Equipes_Tirage'!$B$2:$B$21,MATCH(B19,'Liste Equipes_Tirage'!$D$2:$D$21,0)))</f>
        <v>CHAMBONNET Jean-Pierre</v>
      </c>
      <c r="F19" s="251"/>
      <c r="G19" s="189">
        <f>IF(F19&gt;F18,2,0)</f>
        <v>0</v>
      </c>
      <c r="H19" s="189">
        <f t="shared" si="2"/>
        <v>0</v>
      </c>
      <c r="I19" s="189">
        <f>+F18</f>
        <v>0</v>
      </c>
      <c r="J19" s="189">
        <f>F19-F18</f>
        <v>0</v>
      </c>
      <c r="K19" s="189">
        <f>G19/2</f>
        <v>0</v>
      </c>
      <c r="L19" s="236"/>
      <c r="M19" s="249"/>
      <c r="N19" s="252"/>
      <c r="O19" s="389" t="str">
        <f>+E19</f>
        <v>CHAMBONNET Jean-Pierre</v>
      </c>
      <c r="P19" s="205"/>
      <c r="Q19" s="189">
        <f>IF(P19&gt;P18,2,0)</f>
        <v>0</v>
      </c>
      <c r="R19" s="189">
        <f t="shared" si="3"/>
        <v>0</v>
      </c>
      <c r="S19" s="189">
        <f>+P18</f>
        <v>0</v>
      </c>
      <c r="T19" s="189">
        <f>P19-P18</f>
        <v>0</v>
      </c>
      <c r="U19" s="189">
        <f>Q19/2</f>
        <v>0</v>
      </c>
      <c r="V19" s="201"/>
      <c r="W19" s="249"/>
      <c r="X19" s="250"/>
      <c r="Y19" s="304" t="str">
        <f>+E22</f>
        <v>AGUILERA Vincent</v>
      </c>
      <c r="Z19" s="205"/>
      <c r="AA19" s="189">
        <f>IF(Z19&gt;Z18,2,0)</f>
        <v>0</v>
      </c>
      <c r="AB19" s="189">
        <f t="shared" si="4"/>
        <v>0</v>
      </c>
      <c r="AC19" s="189">
        <f>+Z18</f>
        <v>0</v>
      </c>
      <c r="AD19" s="189">
        <f>Z19-Z18</f>
        <v>0</v>
      </c>
      <c r="AE19" s="189">
        <f>AA19/2</f>
        <v>0</v>
      </c>
      <c r="AF19" s="201"/>
      <c r="AG19" s="254" t="str">
        <f t="shared" si="5"/>
        <v xml:space="preserve"> </v>
      </c>
      <c r="AH19" s="332">
        <f t="shared" ref="AH19:AH23" si="11">SUM(IFERROR(VLOOKUP(AG19,$E$18:$H$23,3,0),0),IFERROR(VLOOKUP(AG19,$O$18:$Q$23,3,0),0),IFERROR(VLOOKUP(AG19,$Y$18:$AA$23,3,0),0))</f>
        <v>0</v>
      </c>
      <c r="AI19" s="255">
        <f t="shared" ref="AI19:AI23" si="12">SUM(IFERROR(VLOOKUP(AG19,$E$18:$M$23,4,0),0),IFERROR(VLOOKUP(AG19,$O$18:$R$23,4,0),0),IFERROR(VLOOKUP(AG19,$Y$18:$AB$23,4,0),0))</f>
        <v>0</v>
      </c>
      <c r="AJ19" s="255">
        <f t="shared" ref="AJ19:AJ23" si="13">SUM(IFERROR(VLOOKUP(AG19,$E$18:$I$23,5,0),0),IFERROR(VLOOKUP(AG19,$O$18:$S$23,5,0),0),IFERROR(VLOOKUP(AG19,$Y$18:$AC$23,5,0),0))</f>
        <v>0</v>
      </c>
      <c r="AK19" s="256">
        <f t="shared" si="6"/>
        <v>0</v>
      </c>
      <c r="AL19" s="353">
        <v>0</v>
      </c>
      <c r="AM19" s="393">
        <f t="shared" ref="AM19:AM30" si="14">IF(AL19=1,3,IF(AL19=2,2,IF(AL19=3,1,0)))</f>
        <v>0</v>
      </c>
      <c r="AN19" s="182">
        <f t="shared" ref="AN19:AN30" si="15">IF(OR(AG19="",AH19="",AI19="",AK19=""),"",RANK(AH19,$AH$18:$AH$23)+SUM(-AK19/1000)-(+AI19/10000)-(+AM19/1000000)+COUNTIF($AG$18:$AG$23,"&lt;="&amp;AG19+1)/10000000000+ROW()/100000000000)</f>
        <v>2.00000000019</v>
      </c>
      <c r="AO19" s="183">
        <f>IF(AG19="","",SMALL(AN$18:AN$23,ROWS(AO$18:AO19)))</f>
        <v>2.00000000018</v>
      </c>
      <c r="AQ19" s="184">
        <f>IF(AO19="","",IF(AND(AS19=AS18,AV19=AV18,AT19=AT18,AU19=AU18,AW19=AW18),AQ18,$AQ$18+1))</f>
        <v>2</v>
      </c>
      <c r="AR19" s="369" t="str">
        <f t="shared" si="7"/>
        <v xml:space="preserve"> </v>
      </c>
      <c r="AS19" s="373">
        <f t="shared" si="8"/>
        <v>0</v>
      </c>
      <c r="AT19" s="307">
        <f t="shared" si="9"/>
        <v>0</v>
      </c>
      <c r="AU19" s="361">
        <f t="shared" ref="AU19:AU23" si="16">IF(OR(AG19="",AH19=""),"",INDEX(AJ$18:AJ$23,MATCH(AO19,$AN$18:$AN$23,0)))</f>
        <v>0</v>
      </c>
      <c r="AV19" s="369">
        <f t="shared" ref="AV19:AV23" si="17">AT19-AU19</f>
        <v>0</v>
      </c>
      <c r="AW19" s="365">
        <f t="shared" ref="AW19:AW23" si="18">IF(OR(AG19="",AL19=""),"",INDEX(AL$18:AL$23,MATCH(AO19,$AN$18:$AN$23,0)))</f>
        <v>0</v>
      </c>
      <c r="AX19" s="201"/>
      <c r="AY19" s="184" t="str">
        <f>+E19</f>
        <v>CHAMBONNET Jean-Pierre</v>
      </c>
      <c r="AZ19" s="257">
        <f>SUM(BA19:BC19)</f>
        <v>0</v>
      </c>
      <c r="BA19" s="258">
        <f t="array" ref="BA19">IF(OR(E18:E19="OFFICE"),0,IF(F19&gt;F18,1,0))</f>
        <v>0</v>
      </c>
      <c r="BB19" s="183">
        <f>IF(OR(O18:O19="OFFICE"),0,IF(P19&gt;P18,1,0))</f>
        <v>0</v>
      </c>
      <c r="BC19" s="259">
        <f t="array" ref="BC19">IF(OR(Y20:Y21="OFFICE"),0,IF(Z20&gt;Z21,1,0))</f>
        <v>0</v>
      </c>
    </row>
    <row r="20" spans="1:55" ht="24.95" customHeight="1">
      <c r="A20" s="411"/>
      <c r="B20" s="248">
        <v>11</v>
      </c>
      <c r="C20" s="238">
        <v>6</v>
      </c>
      <c r="D20" s="239"/>
      <c r="E20" s="385" t="str">
        <f>IF(ISNA(MATCH(B20,'Liste Equipes_Tirage'!$D$2:$D$21,0)),"",INDEX('Liste Equipes_Tirage'!$B$2:$B$21,MATCH(B20,'Liste Equipes_Tirage'!$D$2:$D$21,0)))</f>
        <v>HILAIRE Gabriel</v>
      </c>
      <c r="F20" s="235"/>
      <c r="G20" s="189">
        <f>IF(F20&gt;F21,2,0)</f>
        <v>0</v>
      </c>
      <c r="H20" s="189">
        <f t="shared" si="2"/>
        <v>0</v>
      </c>
      <c r="I20" s="189">
        <f>+F21</f>
        <v>0</v>
      </c>
      <c r="J20" s="189">
        <f>F20-F21</f>
        <v>0</v>
      </c>
      <c r="K20" s="189">
        <f>G20/2</f>
        <v>0</v>
      </c>
      <c r="L20" s="236"/>
      <c r="M20" s="238">
        <v>2</v>
      </c>
      <c r="N20" s="239"/>
      <c r="O20" s="390" t="str">
        <f>E18</f>
        <v xml:space="preserve">DESGACHES Jonathan </v>
      </c>
      <c r="P20" s="196"/>
      <c r="Q20" s="189">
        <f>IF(P20&gt;P21,2,0)</f>
        <v>0</v>
      </c>
      <c r="R20" s="189">
        <f t="shared" si="3"/>
        <v>0</v>
      </c>
      <c r="S20" s="189">
        <f>+P21</f>
        <v>0</v>
      </c>
      <c r="T20" s="189">
        <f>P20-P21</f>
        <v>0</v>
      </c>
      <c r="U20" s="189">
        <f>Q20/2</f>
        <v>0</v>
      </c>
      <c r="V20" s="201"/>
      <c r="W20" s="238">
        <v>4</v>
      </c>
      <c r="X20" s="239"/>
      <c r="Y20" s="240" t="str">
        <f>+E19</f>
        <v>CHAMBONNET Jean-Pierre</v>
      </c>
      <c r="Z20" s="196"/>
      <c r="AA20" s="189">
        <f>IF(Z20&gt;Z21,2,0)</f>
        <v>0</v>
      </c>
      <c r="AB20" s="189">
        <f t="shared" si="4"/>
        <v>0</v>
      </c>
      <c r="AC20" s="189">
        <f>+Z21</f>
        <v>0</v>
      </c>
      <c r="AD20" s="189">
        <f>Z20-Z21</f>
        <v>0</v>
      </c>
      <c r="AE20" s="189">
        <f>AA20/2</f>
        <v>0</v>
      </c>
      <c r="AF20" s="201"/>
      <c r="AG20" s="254" t="str">
        <f t="shared" si="5"/>
        <v xml:space="preserve"> </v>
      </c>
      <c r="AH20" s="332">
        <f t="shared" si="11"/>
        <v>0</v>
      </c>
      <c r="AI20" s="255">
        <f t="shared" si="12"/>
        <v>0</v>
      </c>
      <c r="AJ20" s="255">
        <f t="shared" si="13"/>
        <v>0</v>
      </c>
      <c r="AK20" s="256">
        <f t="shared" si="6"/>
        <v>0</v>
      </c>
      <c r="AL20" s="353">
        <v>0</v>
      </c>
      <c r="AM20" s="393">
        <f t="shared" si="14"/>
        <v>0</v>
      </c>
      <c r="AN20" s="182">
        <f t="shared" si="15"/>
        <v>2.0000000002</v>
      </c>
      <c r="AO20" s="183">
        <f>IF(AG20="","",SMALL(AN$18:AN$23,ROWS(AO$18:AO20)))</f>
        <v>2.00000000019</v>
      </c>
      <c r="AQ20" s="184">
        <f>IF(AO20="","",IF(AND(AS20=AS19,AV20=AV19,AT20=AT19,AU20=AU19,AW20=AW19),AQ19,$AQ$18+2))</f>
        <v>2</v>
      </c>
      <c r="AR20" s="369" t="str">
        <f t="shared" si="7"/>
        <v xml:space="preserve"> </v>
      </c>
      <c r="AS20" s="373">
        <f t="shared" si="8"/>
        <v>0</v>
      </c>
      <c r="AT20" s="307">
        <f t="shared" si="9"/>
        <v>0</v>
      </c>
      <c r="AU20" s="361">
        <f t="shared" si="16"/>
        <v>0</v>
      </c>
      <c r="AV20" s="369">
        <f t="shared" si="17"/>
        <v>0</v>
      </c>
      <c r="AW20" s="365">
        <f t="shared" si="18"/>
        <v>0</v>
      </c>
      <c r="AY20" s="184" t="str">
        <f>+E20</f>
        <v>HILAIRE Gabriel</v>
      </c>
      <c r="AZ20" s="257">
        <f>SUM(BA20:BC20)</f>
        <v>0</v>
      </c>
      <c r="BA20" s="258">
        <f t="array" ref="BA20">IF(OR(E20:E21="OFFICE"),0,IF(F20&gt;F21,1,0))</f>
        <v>0</v>
      </c>
      <c r="BB20" s="183">
        <f t="array" ref="BB20">IF(OR(O22:O23="OFFICE"),0,IF(P22&gt;P23,1,0))</f>
        <v>0</v>
      </c>
      <c r="BC20" s="259">
        <f t="array" ref="BC20">IF(OR(Y20:Y21="OFFICE"),0,IF(Z21&gt;Z20,1,0))</f>
        <v>0</v>
      </c>
    </row>
    <row r="21" spans="1:55" ht="24.95" customHeight="1" thickBot="1">
      <c r="A21" s="411"/>
      <c r="B21" s="248">
        <v>12</v>
      </c>
      <c r="C21" s="249"/>
      <c r="D21" s="250"/>
      <c r="E21" s="385" t="str">
        <f>IF(ISNA(MATCH(B21,'Liste Equipes_Tirage'!$D$2:$D$21,0)),"",INDEX('Liste Equipes_Tirage'!$B$2:$B$21,MATCH(B21,'Liste Equipes_Tirage'!$D$2:$D$21,0)))</f>
        <v>ALLIX Valentin</v>
      </c>
      <c r="F21" s="260"/>
      <c r="G21" s="189">
        <f>IF(F21&gt;F20,2,0)</f>
        <v>0</v>
      </c>
      <c r="H21" s="189">
        <f t="shared" si="2"/>
        <v>0</v>
      </c>
      <c r="I21" s="189">
        <f>+F20</f>
        <v>0</v>
      </c>
      <c r="J21" s="189">
        <f>F21-F20</f>
        <v>0</v>
      </c>
      <c r="K21" s="189">
        <f>G21/2</f>
        <v>0</v>
      </c>
      <c r="L21" s="236"/>
      <c r="M21" s="249"/>
      <c r="N21" s="237"/>
      <c r="O21" s="391" t="str">
        <f>+E21</f>
        <v>ALLIX Valentin</v>
      </c>
      <c r="P21" s="261"/>
      <c r="Q21" s="189">
        <f>IF(P21&gt;P20,2,0)</f>
        <v>0</v>
      </c>
      <c r="R21" s="189">
        <f t="shared" si="3"/>
        <v>0</v>
      </c>
      <c r="S21" s="189">
        <f>+P20</f>
        <v>0</v>
      </c>
      <c r="T21" s="189">
        <f>P21-P20</f>
        <v>0</v>
      </c>
      <c r="U21" s="189">
        <f>Q21/2</f>
        <v>0</v>
      </c>
      <c r="V21" s="201"/>
      <c r="W21" s="249"/>
      <c r="X21" s="250"/>
      <c r="Y21" s="305" t="str">
        <f>+E20</f>
        <v>HILAIRE Gabriel</v>
      </c>
      <c r="Z21" s="261"/>
      <c r="AA21" s="189">
        <f>IF(Z21&gt;Z20,2,0)</f>
        <v>0</v>
      </c>
      <c r="AB21" s="189">
        <f t="shared" si="4"/>
        <v>0</v>
      </c>
      <c r="AC21" s="189">
        <f>+Z20</f>
        <v>0</v>
      </c>
      <c r="AD21" s="189">
        <f>Z21-Z20</f>
        <v>0</v>
      </c>
      <c r="AE21" s="189">
        <f>AA21/2</f>
        <v>0</v>
      </c>
      <c r="AF21" s="201"/>
      <c r="AG21" s="254" t="str">
        <f t="shared" si="5"/>
        <v xml:space="preserve"> </v>
      </c>
      <c r="AH21" s="332">
        <f t="shared" si="11"/>
        <v>0</v>
      </c>
      <c r="AI21" s="255">
        <f t="shared" si="12"/>
        <v>0</v>
      </c>
      <c r="AJ21" s="255">
        <f t="shared" si="13"/>
        <v>0</v>
      </c>
      <c r="AK21" s="256">
        <f t="shared" si="6"/>
        <v>0</v>
      </c>
      <c r="AL21" s="353">
        <v>0</v>
      </c>
      <c r="AM21" s="393">
        <f t="shared" si="14"/>
        <v>0</v>
      </c>
      <c r="AN21" s="182">
        <f t="shared" si="15"/>
        <v>2.00000000021</v>
      </c>
      <c r="AO21" s="183">
        <f>IF(AG21="","",SMALL(AN$18:AN$23,ROWS(AO$18:AO21)))</f>
        <v>2.0000000002</v>
      </c>
      <c r="AQ21" s="184">
        <f>IF(AO21="","",IF(AND(AS21=AS20,AV21=AV20,AT21=AT20,AU21=AU20,AW21=AW20),AQ20,$AQ$18+3))</f>
        <v>2</v>
      </c>
      <c r="AR21" s="369" t="str">
        <f t="shared" si="7"/>
        <v xml:space="preserve"> </v>
      </c>
      <c r="AS21" s="373">
        <f t="shared" si="8"/>
        <v>0</v>
      </c>
      <c r="AT21" s="307">
        <f t="shared" si="9"/>
        <v>0</v>
      </c>
      <c r="AU21" s="361">
        <f t="shared" si="16"/>
        <v>0</v>
      </c>
      <c r="AV21" s="369">
        <f t="shared" si="17"/>
        <v>0</v>
      </c>
      <c r="AW21" s="365">
        <f t="shared" si="18"/>
        <v>0</v>
      </c>
      <c r="AY21" s="262" t="str">
        <f>+E21</f>
        <v>ALLIX Valentin</v>
      </c>
      <c r="AZ21" s="263">
        <f>SUM(BA21:BC21)</f>
        <v>0</v>
      </c>
      <c r="BA21" s="258">
        <f>IF(OR(E20:E21="OFFICE"),0,IF(F20&lt;F21,1,0))</f>
        <v>0</v>
      </c>
      <c r="BB21" s="264">
        <f>IF(OR(O20:O21="OFFICE"),0,IF(P21&gt;P20,1,0))</f>
        <v>0</v>
      </c>
      <c r="BC21" s="265">
        <f t="array" ref="BC21">IF(OR(Y22:Y23="OFFICE"),0,IF(Z22&gt;Z23,1,0))</f>
        <v>0</v>
      </c>
    </row>
    <row r="22" spans="1:55" ht="24.95" customHeight="1" thickBot="1">
      <c r="A22" s="411"/>
      <c r="B22" s="266">
        <v>13</v>
      </c>
      <c r="C22" s="267"/>
      <c r="D22" s="239"/>
      <c r="E22" s="386" t="str">
        <f>IF(ISNA(MATCH(B22,'Liste Equipes_Tirage'!$D$2:$D$21,0)),"",INDEX('Liste Equipes_Tirage'!$B$2:$B$21,MATCH(B22,'Liste Equipes_Tirage'!$D$2:$D$21,0)))</f>
        <v>AGUILERA Vincent</v>
      </c>
      <c r="F22" s="235">
        <v>13</v>
      </c>
      <c r="G22" s="189">
        <f>IF(F22&gt;F23,2,0)</f>
        <v>2</v>
      </c>
      <c r="H22" s="189">
        <f t="shared" si="2"/>
        <v>13</v>
      </c>
      <c r="I22" s="189">
        <f>+F23</f>
        <v>7</v>
      </c>
      <c r="J22" s="189">
        <f>F22-F23</f>
        <v>6</v>
      </c>
      <c r="K22" s="268">
        <v>0</v>
      </c>
      <c r="L22" s="236"/>
      <c r="M22" s="269"/>
      <c r="N22" s="239"/>
      <c r="O22" s="392" t="str">
        <f>+E20</f>
        <v>HILAIRE Gabriel</v>
      </c>
      <c r="P22" s="196">
        <v>13</v>
      </c>
      <c r="Q22" s="189">
        <f>IF(P22&gt;P23,2,0)</f>
        <v>2</v>
      </c>
      <c r="R22" s="189">
        <f t="shared" si="3"/>
        <v>13</v>
      </c>
      <c r="S22" s="189">
        <f>+P23</f>
        <v>7</v>
      </c>
      <c r="T22" s="189">
        <f>P22-P23</f>
        <v>6</v>
      </c>
      <c r="U22" s="268">
        <v>0</v>
      </c>
      <c r="V22" s="201"/>
      <c r="W22" s="267"/>
      <c r="X22" s="269"/>
      <c r="Y22" s="271" t="str">
        <f>+E21</f>
        <v>ALLIX Valentin</v>
      </c>
      <c r="Z22" s="196">
        <v>13</v>
      </c>
      <c r="AA22" s="189">
        <f>IF(Z22&gt;Z23,2,0)</f>
        <v>2</v>
      </c>
      <c r="AB22" s="189">
        <f t="shared" si="4"/>
        <v>13</v>
      </c>
      <c r="AC22" s="189">
        <f>+Z23</f>
        <v>7</v>
      </c>
      <c r="AD22" s="189">
        <f>Z22-Z23</f>
        <v>6</v>
      </c>
      <c r="AE22" s="268">
        <v>0</v>
      </c>
      <c r="AF22" s="201"/>
      <c r="AG22" s="272" t="str">
        <f t="shared" si="5"/>
        <v>AGUILERA Vincent</v>
      </c>
      <c r="AH22" s="336">
        <f t="shared" si="11"/>
        <v>2</v>
      </c>
      <c r="AI22" s="337">
        <f t="shared" si="12"/>
        <v>13</v>
      </c>
      <c r="AJ22" s="337">
        <f t="shared" si="13"/>
        <v>7</v>
      </c>
      <c r="AK22" s="273">
        <f t="shared" si="6"/>
        <v>6</v>
      </c>
      <c r="AL22" s="354">
        <v>0</v>
      </c>
      <c r="AM22" s="393">
        <f t="shared" si="14"/>
        <v>0</v>
      </c>
      <c r="AN22" s="182">
        <f t="shared" si="15"/>
        <v>0.99270000022000005</v>
      </c>
      <c r="AO22" s="183">
        <f>IF(AG22="","",SMALL(AN$18:AN$23,ROWS(AO$18:AO22)))</f>
        <v>2.00000000021</v>
      </c>
      <c r="AQ22" s="262">
        <f>IF(AO22="","",IF(AND(AS22=AS21,AV22=AV21,AT22=AT21,AU22=AU21,AW22=AW21),AQ21,$AQ$18+4))</f>
        <v>2</v>
      </c>
      <c r="AR22" s="370" t="str">
        <f t="shared" si="7"/>
        <v xml:space="preserve"> </v>
      </c>
      <c r="AS22" s="374">
        <f t="shared" si="8"/>
        <v>0</v>
      </c>
      <c r="AT22" s="340">
        <f t="shared" si="9"/>
        <v>0</v>
      </c>
      <c r="AU22" s="362">
        <f t="shared" si="16"/>
        <v>0</v>
      </c>
      <c r="AV22" s="370">
        <f t="shared" si="17"/>
        <v>0</v>
      </c>
      <c r="AW22" s="365">
        <f t="shared" si="18"/>
        <v>0</v>
      </c>
      <c r="AY22" s="185" t="str">
        <f>+E22</f>
        <v>AGUILERA Vincent</v>
      </c>
      <c r="AZ22" s="274">
        <f>SUM(BA22:BC22)</f>
        <v>0</v>
      </c>
      <c r="BA22" s="275">
        <f t="array" ref="BA22">IF(OR(E22:E23="OFFICE"),0,IF(F22&gt;F23,1,0))</f>
        <v>0</v>
      </c>
      <c r="BB22" s="276">
        <f t="array" ref="BB22">IF(OR(O18:O19="OFFICE"),0,IF(P18&gt;P19,1,0))</f>
        <v>0</v>
      </c>
      <c r="BC22" s="277">
        <f t="array" ref="BC22">IF(OR(Y18:Y19="OFFICE"),0,IF(Z19&gt;Z18,1,0))</f>
        <v>0</v>
      </c>
    </row>
    <row r="23" spans="1:55" ht="24.95" customHeight="1" thickBot="1">
      <c r="A23" s="412"/>
      <c r="B23" s="278">
        <v>14</v>
      </c>
      <c r="C23" s="279"/>
      <c r="D23" s="250"/>
      <c r="E23" s="381" t="s">
        <v>86</v>
      </c>
      <c r="F23" s="251">
        <v>7</v>
      </c>
      <c r="G23" s="281">
        <v>0</v>
      </c>
      <c r="H23" s="282">
        <f t="shared" si="2"/>
        <v>7</v>
      </c>
      <c r="I23" s="282">
        <f>+F22</f>
        <v>13</v>
      </c>
      <c r="J23" s="282">
        <f>F23-F22</f>
        <v>-6</v>
      </c>
      <c r="K23" s="283"/>
      <c r="L23" s="284"/>
      <c r="M23" s="280"/>
      <c r="N23" s="250"/>
      <c r="O23" s="377" t="str">
        <f>+E23</f>
        <v>OFFICE</v>
      </c>
      <c r="P23" s="205">
        <v>7</v>
      </c>
      <c r="Q23" s="281">
        <v>0</v>
      </c>
      <c r="R23" s="282">
        <f t="shared" si="3"/>
        <v>7</v>
      </c>
      <c r="S23" s="282">
        <f>+P22</f>
        <v>13</v>
      </c>
      <c r="T23" s="282">
        <f>P23-P22</f>
        <v>-6</v>
      </c>
      <c r="U23" s="283"/>
      <c r="V23" s="201"/>
      <c r="W23" s="279"/>
      <c r="X23" s="280"/>
      <c r="Y23" s="377" t="str">
        <f>+O23</f>
        <v>OFFICE</v>
      </c>
      <c r="Z23" s="205">
        <v>7</v>
      </c>
      <c r="AA23" s="281">
        <v>0</v>
      </c>
      <c r="AB23" s="282">
        <f t="shared" si="4"/>
        <v>7</v>
      </c>
      <c r="AC23" s="282">
        <f>+Z22</f>
        <v>13</v>
      </c>
      <c r="AD23" s="282">
        <f>Z23-Z22</f>
        <v>-6</v>
      </c>
      <c r="AE23" s="283"/>
      <c r="AF23" s="201"/>
      <c r="AG23" s="287" t="str">
        <f t="shared" si="5"/>
        <v>OFFICE</v>
      </c>
      <c r="AH23" s="338">
        <f t="shared" si="11"/>
        <v>0</v>
      </c>
      <c r="AI23" s="288">
        <f t="shared" si="12"/>
        <v>21</v>
      </c>
      <c r="AJ23" s="288">
        <f t="shared" si="13"/>
        <v>39</v>
      </c>
      <c r="AK23" s="288">
        <f t="shared" si="6"/>
        <v>-18</v>
      </c>
      <c r="AL23" s="355">
        <v>0</v>
      </c>
      <c r="AM23" s="393">
        <f t="shared" si="14"/>
        <v>0</v>
      </c>
      <c r="AN23" s="182">
        <f t="shared" si="15"/>
        <v>2.0159000002299998</v>
      </c>
      <c r="AO23" s="183">
        <f>IF(AG23="","",SMALL(AN$18:AN$23,ROWS(AO$18:AO23)))</f>
        <v>2.0159000002299998</v>
      </c>
      <c r="AP23" s="201"/>
      <c r="AQ23" s="339">
        <f>IF(AO23="","",IF(AND(AS23=AS22,AV23=AV22,AT23=AT22,AU23=AU22,AW23=AW22),AQ22,$AQ$18+5))</f>
        <v>6</v>
      </c>
      <c r="AR23" s="371" t="str">
        <f t="shared" si="7"/>
        <v>OFFICE</v>
      </c>
      <c r="AS23" s="375">
        <f t="shared" si="8"/>
        <v>0</v>
      </c>
      <c r="AT23" s="341">
        <f t="shared" si="9"/>
        <v>21</v>
      </c>
      <c r="AU23" s="363">
        <f t="shared" si="16"/>
        <v>39</v>
      </c>
      <c r="AV23" s="371">
        <f t="shared" si="17"/>
        <v>-18</v>
      </c>
      <c r="AW23" s="366">
        <f t="shared" si="18"/>
        <v>0</v>
      </c>
      <c r="AY23" s="185" t="str">
        <f>+E23</f>
        <v>OFFICE</v>
      </c>
      <c r="AZ23" s="289"/>
      <c r="BA23" s="290"/>
      <c r="BB23" s="290"/>
      <c r="BC23" s="291"/>
    </row>
    <row r="24" spans="1:55" ht="24.95" customHeight="1" thickBot="1">
      <c r="A24" s="299"/>
      <c r="B24" s="292"/>
      <c r="C24" s="292"/>
      <c r="D24" s="292"/>
      <c r="E24" s="378" t="str">
        <f>IF(ISNA(MATCH(B24,'Liste Equipes_Tirage'!$D$2:$D$21,0)),"",INDEX('Liste Equipes_Tirage'!$B$2:$B$21,MATCH(B24,'Liste Equipes_Tirage'!$D$2:$D$21,0)))</f>
        <v/>
      </c>
      <c r="F24" s="292"/>
      <c r="G24" s="189">
        <f>SUM(G18:G23)</f>
        <v>2</v>
      </c>
      <c r="H24" s="189">
        <f>SUM(H18:H23)</f>
        <v>20</v>
      </c>
      <c r="I24" s="189">
        <f>SUM(I18:I23)</f>
        <v>20</v>
      </c>
      <c r="J24" s="189">
        <f>SUM(J18:J23)</f>
        <v>0</v>
      </c>
      <c r="K24" s="192"/>
      <c r="L24" s="192"/>
      <c r="M24" s="192"/>
      <c r="N24" s="192"/>
      <c r="O24" s="192"/>
      <c r="P24" s="192"/>
      <c r="Q24" s="192">
        <f>SUM(Q18:Q23)</f>
        <v>2</v>
      </c>
      <c r="R24" s="192">
        <f>SUM(R18:R23)</f>
        <v>20</v>
      </c>
      <c r="S24" s="192">
        <f>SUM(S18:S23)</f>
        <v>20</v>
      </c>
      <c r="T24" s="192">
        <f>SUM(T18:T23)</f>
        <v>0</v>
      </c>
      <c r="U24" s="293"/>
      <c r="V24" s="293"/>
      <c r="W24" s="293"/>
      <c r="X24" s="293"/>
      <c r="Y24" s="293"/>
      <c r="Z24" s="294"/>
      <c r="AA24" s="295">
        <f>SUM(AA18:AA23)</f>
        <v>2</v>
      </c>
      <c r="AB24" s="295">
        <f>SUM(AB18:AB23)</f>
        <v>20</v>
      </c>
      <c r="AC24" s="189">
        <f>SUM(AC18:AC23)</f>
        <v>20</v>
      </c>
      <c r="AD24" s="189">
        <f>SUM(AD18:AD23)</f>
        <v>0</v>
      </c>
      <c r="AE24" s="296"/>
      <c r="AF24" s="201"/>
      <c r="AG24" s="192" t="s">
        <v>7</v>
      </c>
      <c r="AH24" s="192">
        <f>SUM(AH18:AH23)</f>
        <v>2</v>
      </c>
      <c r="AI24" s="192">
        <f>SUM(AI18:AI23)</f>
        <v>34</v>
      </c>
      <c r="AJ24" s="192">
        <f t="shared" ref="AJ24" si="19">SUM(AJ18:AJ23)</f>
        <v>46</v>
      </c>
      <c r="AK24" s="192">
        <f>SUM(AK18:AK23)</f>
        <v>-12</v>
      </c>
      <c r="AL24" s="201"/>
      <c r="AM24"/>
      <c r="AN24" s="182"/>
      <c r="AO24" s="201"/>
      <c r="AP24" s="201"/>
      <c r="AQ24" s="192"/>
      <c r="AR24" s="192"/>
      <c r="AS24" s="192">
        <f>SUM(AS18:AS23)</f>
        <v>2</v>
      </c>
      <c r="AT24" s="192">
        <f>SUM(AT18:AT23)</f>
        <v>34</v>
      </c>
      <c r="AU24" s="189">
        <f>SUM(AU18:AU23)</f>
        <v>46</v>
      </c>
      <c r="AV24" s="192">
        <f>SUM(AV18:AV23)</f>
        <v>-12</v>
      </c>
      <c r="AW24"/>
      <c r="AX24" s="197"/>
      <c r="AZ24" s="192">
        <f>SUM(AZ18:AZ22)</f>
        <v>0</v>
      </c>
      <c r="BA24" s="192">
        <f>SUM(BA18:BA22)</f>
        <v>0</v>
      </c>
      <c r="BB24" s="192">
        <f>SUM(BB18:BB22)</f>
        <v>0</v>
      </c>
      <c r="BC24" s="192">
        <f>SUM(BC18:BC22)</f>
        <v>0</v>
      </c>
    </row>
    <row r="25" spans="1:55" ht="24.95" customHeight="1" thickTop="1">
      <c r="A25" s="410">
        <v>4</v>
      </c>
      <c r="B25" s="232">
        <v>15</v>
      </c>
      <c r="C25" s="233">
        <v>7</v>
      </c>
      <c r="D25" s="239"/>
      <c r="E25" s="195" t="str">
        <f>IF(ISNA(MATCH(B25,'Liste Equipes_Tirage'!$D$2:$D$21,0)),"",INDEX('Liste Equipes_Tirage'!$B$2:$B$21,MATCH(B25,'Liste Equipes_Tirage'!$D$2:$D$21,0)))</f>
        <v>FAURE Thierry</v>
      </c>
      <c r="F25" s="235"/>
      <c r="G25" s="189">
        <f>IF(F25&gt;F26,2,0)</f>
        <v>0</v>
      </c>
      <c r="H25" s="189">
        <f t="shared" ref="H25:H30" si="20">+F25</f>
        <v>0</v>
      </c>
      <c r="I25" s="189">
        <f>+F26</f>
        <v>0</v>
      </c>
      <c r="J25" s="189">
        <f>F25-F26</f>
        <v>0</v>
      </c>
      <c r="K25" s="189">
        <f>G25/2</f>
        <v>0</v>
      </c>
      <c r="L25" s="236"/>
      <c r="M25" s="233">
        <v>3</v>
      </c>
      <c r="N25" s="269"/>
      <c r="O25" s="333" t="str">
        <f>+E29</f>
        <v>JOUVE GERARD</v>
      </c>
      <c r="P25" s="196"/>
      <c r="Q25" s="189">
        <f>IF(P25&gt;P26,2,0)</f>
        <v>0</v>
      </c>
      <c r="R25" s="189">
        <f t="shared" ref="R25:R30" si="21">+P25</f>
        <v>0</v>
      </c>
      <c r="S25" s="189">
        <f>+P26</f>
        <v>0</v>
      </c>
      <c r="T25" s="189">
        <f>P25-P26</f>
        <v>0</v>
      </c>
      <c r="U25" s="189">
        <f>Q25/2</f>
        <v>0</v>
      </c>
      <c r="V25" s="201"/>
      <c r="W25" s="238">
        <v>1</v>
      </c>
      <c r="X25" s="239"/>
      <c r="Y25" s="240" t="str">
        <f>+E25</f>
        <v>FAURE Thierry</v>
      </c>
      <c r="Z25" s="196"/>
      <c r="AA25" s="189">
        <f>IF(Z25&gt;Z26,2,0)</f>
        <v>0</v>
      </c>
      <c r="AB25" s="189">
        <f t="shared" ref="AB25:AB30" si="22">+Z25</f>
        <v>0</v>
      </c>
      <c r="AC25" s="189">
        <f>+Z26</f>
        <v>0</v>
      </c>
      <c r="AD25" s="189">
        <f>Z25-Z26</f>
        <v>0</v>
      </c>
      <c r="AE25" s="189">
        <f>AA25/2</f>
        <v>0</v>
      </c>
      <c r="AF25" s="201"/>
      <c r="AG25" s="241" t="str">
        <f t="shared" ref="AG25:AG30" si="23">IF(F25&lt;&gt;"",E25," ")</f>
        <v xml:space="preserve"> </v>
      </c>
      <c r="AH25" s="331">
        <f>SUM(IFERROR(VLOOKUP(AG25,$E$25:$H$30,3,0),0),IFERROR(VLOOKUP(AG25,$O$25:$Q$30,3,0),0),IFERROR(VLOOKUP(AG25,$Y$25:$AA$30,3,0),0))</f>
        <v>0</v>
      </c>
      <c r="AI25" s="242">
        <f>SUM(IFERROR(VLOOKUP(AG25,$E$25:$M$30,4,0),0),IFERROR(VLOOKUP(AG25,$O$25:$R$30,4,0),0),IFERROR(VLOOKUP(AG25,$Y$25:$AB$30,4,0),0))</f>
        <v>0</v>
      </c>
      <c r="AJ25" s="242">
        <f>SUM(IFERROR(VLOOKUP(AG25,$E$25:$I$30,5,0),0),IFERROR(VLOOKUP(AG25,$O$25:$S$30,5,0),0),IFERROR(VLOOKUP(AG25,$Y$25:$AC$30,5,0),0))</f>
        <v>0</v>
      </c>
      <c r="AK25" s="242">
        <f t="shared" ref="AK25:AK30" si="24">AI25-AJ25</f>
        <v>0</v>
      </c>
      <c r="AL25" s="352">
        <v>0</v>
      </c>
      <c r="AM25" s="376">
        <f t="shared" si="14"/>
        <v>0</v>
      </c>
      <c r="AN25" s="182">
        <f t="shared" si="15"/>
        <v>2.00000000025</v>
      </c>
      <c r="AO25" s="183">
        <f>IF(AG25="","",SMALL(AN$25:AN$30,ROWS(AO$25:AO25)))</f>
        <v>0.99270000029000005</v>
      </c>
      <c r="AQ25" s="243">
        <f>IF(AO25="","",1)</f>
        <v>1</v>
      </c>
      <c r="AR25" s="368" t="str">
        <f t="shared" ref="AR25:AR30" si="25">IF(OR(AG25="",AH25=""),"",INDEX(AG$25:AG$30,MATCH(AO25,AN$25:AN$30,0)))</f>
        <v>JOUVE GERARD</v>
      </c>
      <c r="AS25" s="372">
        <f t="shared" ref="AS25:AS30" si="26">IF(OR(AG25="",AH25=""),"",INDEX(AH$25:AH$30,MATCH(AO25,$AN$25:$AN$30,0)))</f>
        <v>2</v>
      </c>
      <c r="AT25" s="335">
        <f t="shared" ref="AT25:AT30" si="27">IF(OR(AG25="",AH25=""),"",INDEX(AI$25:AI$30,MATCH(AO25,$AN$25:$AN$30,0)))</f>
        <v>13</v>
      </c>
      <c r="AU25" s="360">
        <f t="shared" ref="AU25:AU30" si="28">IF(OR(AG25="",AH25=""),"",INDEX(AJ$25:AJ$30,MATCH(AO25,$AN$25:$AN$30,0)))</f>
        <v>7</v>
      </c>
      <c r="AV25" s="368">
        <f t="shared" ref="AV25" si="29">AT25-AU25</f>
        <v>6</v>
      </c>
      <c r="AW25" s="364">
        <f>IF(OR(AG25="",AL25=""),"",INDEX(AL$25:AL$30,MATCH(AO25,$AN$25:$AN$30,0)))</f>
        <v>0</v>
      </c>
      <c r="AX25" s="201"/>
      <c r="AY25" s="243" t="str">
        <f>E25</f>
        <v>FAURE Thierry</v>
      </c>
      <c r="AZ25" s="244">
        <f>SUM(BA25:BC25)</f>
        <v>0</v>
      </c>
      <c r="BA25" s="245">
        <f t="array" ref="BA25">IF(OR(E25:E26="OFFICE"),0,IF(F25&gt;F26,1,0))</f>
        <v>0</v>
      </c>
      <c r="BB25" s="246">
        <f t="array" ref="BB25">IF(OR(O27:O28="OFFICE"),0,IF(P27&gt;P28,1,0))</f>
        <v>0</v>
      </c>
      <c r="BC25" s="247">
        <f t="array" ref="BC25">IF(OR(Y25:Y26="OFFICE"),0,IF(Z25&gt;Z26,1,0))</f>
        <v>0</v>
      </c>
    </row>
    <row r="26" spans="1:55" ht="24.95" customHeight="1" thickBot="1">
      <c r="A26" s="411"/>
      <c r="B26" s="248">
        <v>16</v>
      </c>
      <c r="C26" s="249"/>
      <c r="D26" s="250"/>
      <c r="E26" s="379" t="str">
        <f>IF(ISNA(MATCH(B26,'Liste Equipes_Tirage'!$D$2:$D$21,0)),"",INDEX('Liste Equipes_Tirage'!$B$2:$B$21,MATCH(B26,'Liste Equipes_Tirage'!$D$2:$D$21,0)))</f>
        <v>CHARBONNIER eric</v>
      </c>
      <c r="F26" s="251"/>
      <c r="G26" s="189">
        <f>IF(F26&gt;F25,2,0)</f>
        <v>0</v>
      </c>
      <c r="H26" s="189">
        <f t="shared" si="20"/>
        <v>0</v>
      </c>
      <c r="I26" s="189">
        <f>+F25</f>
        <v>0</v>
      </c>
      <c r="J26" s="189">
        <f>F26-F25</f>
        <v>0</v>
      </c>
      <c r="K26" s="189">
        <f>G26/2</f>
        <v>0</v>
      </c>
      <c r="L26" s="236"/>
      <c r="M26" s="249"/>
      <c r="N26" s="280"/>
      <c r="O26" s="334" t="str">
        <f>+E26</f>
        <v>CHARBONNIER eric</v>
      </c>
      <c r="P26" s="205"/>
      <c r="Q26" s="189">
        <f>IF(P26&gt;P25,2,0)</f>
        <v>0</v>
      </c>
      <c r="R26" s="189">
        <f t="shared" si="21"/>
        <v>0</v>
      </c>
      <c r="S26" s="189">
        <f>+P25</f>
        <v>0</v>
      </c>
      <c r="T26" s="189">
        <f>P26-P25</f>
        <v>0</v>
      </c>
      <c r="U26" s="189">
        <f>Q26/2</f>
        <v>0</v>
      </c>
      <c r="V26" s="201"/>
      <c r="W26" s="249"/>
      <c r="X26" s="250"/>
      <c r="Y26" s="253" t="str">
        <f>+E29</f>
        <v>JOUVE GERARD</v>
      </c>
      <c r="Z26" s="205"/>
      <c r="AA26" s="189">
        <f>IF(Z26&gt;Z25,2,0)</f>
        <v>0</v>
      </c>
      <c r="AB26" s="189">
        <f t="shared" si="22"/>
        <v>0</v>
      </c>
      <c r="AC26" s="189">
        <f>+Z25</f>
        <v>0</v>
      </c>
      <c r="AD26" s="189">
        <f>Z26-Z25</f>
        <v>0</v>
      </c>
      <c r="AE26" s="189">
        <f>AA26/2</f>
        <v>0</v>
      </c>
      <c r="AF26" s="201"/>
      <c r="AG26" s="254" t="str">
        <f t="shared" si="23"/>
        <v xml:space="preserve"> </v>
      </c>
      <c r="AH26" s="332">
        <f t="shared" ref="AH26:AH30" si="30">SUM(IFERROR(VLOOKUP(AG26,$E$25:$H$30,3,0),0),IFERROR(VLOOKUP(AG26,$O$25:$Q$30,3,0),0),IFERROR(VLOOKUP(AG26,$Y$25:$AA$30,3,0),0))</f>
        <v>0</v>
      </c>
      <c r="AI26" s="255">
        <f t="shared" ref="AI26:AI30" si="31">SUM(IFERROR(VLOOKUP(AG26,$E$25:$M$30,4,0),0),IFERROR(VLOOKUP(AG26,$O$25:$R$30,4,0),0),IFERROR(VLOOKUP(AG26,$Y$25:$AB$30,4,0),0))</f>
        <v>0</v>
      </c>
      <c r="AJ26" s="255">
        <f t="shared" ref="AJ26:AJ30" si="32">SUM(IFERROR(VLOOKUP(AG26,$E$25:$I$30,5,0),0),IFERROR(VLOOKUP(AG26,$O$25:$S$30,5,0),0),IFERROR(VLOOKUP(AG26,$Y$25:$AC$30,5,0),0))</f>
        <v>0</v>
      </c>
      <c r="AK26" s="256">
        <f t="shared" si="24"/>
        <v>0</v>
      </c>
      <c r="AL26" s="353">
        <v>0</v>
      </c>
      <c r="AM26" s="376">
        <f t="shared" si="14"/>
        <v>0</v>
      </c>
      <c r="AN26" s="182">
        <f t="shared" si="15"/>
        <v>2.00000000026</v>
      </c>
      <c r="AO26" s="183">
        <f>IF(AG26="","",SMALL(AN$25:AN$30,ROWS(AO$25:AO26)))</f>
        <v>2.00000000025</v>
      </c>
      <c r="AQ26" s="184">
        <f>IF(AO26="","",IF(AND(AS25=AS26,AV25=AV26,AT26=AT25,AU25=AU26,AW25=AW26),AQ25,$AQ$25+1))</f>
        <v>2</v>
      </c>
      <c r="AR26" s="369" t="str">
        <f t="shared" si="25"/>
        <v xml:space="preserve"> </v>
      </c>
      <c r="AS26" s="373">
        <f t="shared" si="26"/>
        <v>0</v>
      </c>
      <c r="AT26" s="307">
        <f t="shared" si="27"/>
        <v>0</v>
      </c>
      <c r="AU26" s="361">
        <f t="shared" si="28"/>
        <v>0</v>
      </c>
      <c r="AV26" s="369">
        <f t="shared" ref="AV26:AV29" si="33">AT26-AU26</f>
        <v>0</v>
      </c>
      <c r="AW26" s="365">
        <f t="shared" ref="AW26:AW30" si="34">IF(OR(AG26="",AL26=""),"",INDEX(AL$25:AL$30,MATCH(AO26,$AN$25:$AN$30,0)))</f>
        <v>0</v>
      </c>
      <c r="AX26" s="201"/>
      <c r="AY26" s="184" t="str">
        <f>+E26</f>
        <v>CHARBONNIER eric</v>
      </c>
      <c r="AZ26" s="257">
        <f>SUM(BA26:BC26)</f>
        <v>0</v>
      </c>
      <c r="BA26" s="258">
        <f t="array" ref="BA26">IF(OR(E25:E26="OFFICE"),0,IF(F26&gt;F25,1,0))</f>
        <v>0</v>
      </c>
      <c r="BB26" s="183">
        <f>IF(OR(O25:O26="OFFICE"),0,IF(P26&gt;P25,1,0))</f>
        <v>0</v>
      </c>
      <c r="BC26" s="259">
        <f t="array" ref="BC26">IF(OR(Y27:Y28="OFFICE"),0,IF(Z27&gt;Z28,1,0))</f>
        <v>0</v>
      </c>
    </row>
    <row r="27" spans="1:55" ht="24.95" customHeight="1">
      <c r="A27" s="411"/>
      <c r="B27" s="248">
        <v>17</v>
      </c>
      <c r="C27" s="238">
        <v>8</v>
      </c>
      <c r="D27" s="239"/>
      <c r="E27" s="380" t="str">
        <f>IF(ISNA(MATCH(B27,'Liste Equipes_Tirage'!$D$2:$D$21,0)),"",INDEX('Liste Equipes_Tirage'!$B$2:$B$21,MATCH(B27,'Liste Equipes_Tirage'!$D$2:$D$21,0)))</f>
        <v>EYRAUD Jean-Paul</v>
      </c>
      <c r="F27" s="235"/>
      <c r="G27" s="189">
        <f>IF(F27&gt;F28,2,0)</f>
        <v>0</v>
      </c>
      <c r="H27" s="189">
        <f t="shared" si="20"/>
        <v>0</v>
      </c>
      <c r="I27" s="189">
        <f>+F28</f>
        <v>0</v>
      </c>
      <c r="J27" s="189">
        <f>F27-F28</f>
        <v>0</v>
      </c>
      <c r="K27" s="189">
        <f>G27/2</f>
        <v>0</v>
      </c>
      <c r="L27" s="236"/>
      <c r="M27" s="238">
        <v>4</v>
      </c>
      <c r="N27" s="239"/>
      <c r="O27" s="240" t="str">
        <f>E25</f>
        <v>FAURE Thierry</v>
      </c>
      <c r="P27" s="196"/>
      <c r="Q27" s="189">
        <f>IF(P27&gt;P28,2,0)</f>
        <v>0</v>
      </c>
      <c r="R27" s="189">
        <f t="shared" si="21"/>
        <v>0</v>
      </c>
      <c r="S27" s="189">
        <f>+P28</f>
        <v>0</v>
      </c>
      <c r="T27" s="189">
        <f>P27-P28</f>
        <v>0</v>
      </c>
      <c r="U27" s="189">
        <f>Q27/2</f>
        <v>0</v>
      </c>
      <c r="V27" s="201"/>
      <c r="W27" s="238">
        <v>2</v>
      </c>
      <c r="X27" s="239"/>
      <c r="Y27" s="240" t="str">
        <f>+E26</f>
        <v>CHARBONNIER eric</v>
      </c>
      <c r="Z27" s="196"/>
      <c r="AA27" s="189">
        <f>IF(Z27&gt;Z28,2,0)</f>
        <v>0</v>
      </c>
      <c r="AB27" s="189">
        <f t="shared" si="22"/>
        <v>0</v>
      </c>
      <c r="AC27" s="189">
        <f>+Z28</f>
        <v>0</v>
      </c>
      <c r="AD27" s="189">
        <f>Z27-Z28</f>
        <v>0</v>
      </c>
      <c r="AE27" s="189">
        <f>AA27/2</f>
        <v>0</v>
      </c>
      <c r="AF27" s="201"/>
      <c r="AG27" s="254" t="str">
        <f t="shared" si="23"/>
        <v xml:space="preserve"> </v>
      </c>
      <c r="AH27" s="332">
        <f t="shared" si="30"/>
        <v>0</v>
      </c>
      <c r="AI27" s="255">
        <f t="shared" si="31"/>
        <v>0</v>
      </c>
      <c r="AJ27" s="255">
        <f t="shared" si="32"/>
        <v>0</v>
      </c>
      <c r="AK27" s="256">
        <f t="shared" si="24"/>
        <v>0</v>
      </c>
      <c r="AL27" s="353">
        <v>0</v>
      </c>
      <c r="AM27" s="376">
        <f t="shared" si="14"/>
        <v>0</v>
      </c>
      <c r="AN27" s="182">
        <f t="shared" si="15"/>
        <v>2.00000000027</v>
      </c>
      <c r="AO27" s="183">
        <f>IF(AG27="","",SMALL(AN$25:AN$30,ROWS(AO$25:AO27)))</f>
        <v>2.00000000026</v>
      </c>
      <c r="AQ27" s="184">
        <f>IF(AO27="","",IF(AND(AS26=AS27,AV26=AV27,AT27=AT26,AU26=AU27,AW26=AW27),AQ26,$AQ$25+2))</f>
        <v>2</v>
      </c>
      <c r="AR27" s="369" t="str">
        <f t="shared" si="25"/>
        <v xml:space="preserve"> </v>
      </c>
      <c r="AS27" s="373">
        <f t="shared" si="26"/>
        <v>0</v>
      </c>
      <c r="AT27" s="307">
        <f t="shared" si="27"/>
        <v>0</v>
      </c>
      <c r="AU27" s="361">
        <f t="shared" si="28"/>
        <v>0</v>
      </c>
      <c r="AV27" s="369">
        <f t="shared" si="33"/>
        <v>0</v>
      </c>
      <c r="AW27" s="365">
        <f t="shared" si="34"/>
        <v>0</v>
      </c>
      <c r="AY27" s="184" t="str">
        <f>+E27</f>
        <v>EYRAUD Jean-Paul</v>
      </c>
      <c r="AZ27" s="257">
        <f>SUM(BA27:BC27)</f>
        <v>0</v>
      </c>
      <c r="BA27" s="258">
        <f t="array" ref="BA27">IF(OR(E27:E28="OFFICE"),0,IF(F27&gt;F28,1,0))</f>
        <v>0</v>
      </c>
      <c r="BB27" s="183">
        <f t="array" ref="BB27">IF(OR(O29:O30="OFFICE"),0,IF(P29&gt;P30,1,0))</f>
        <v>0</v>
      </c>
      <c r="BC27" s="259">
        <f t="array" ref="BC27">IF(OR(Y27:Y28="OFFICE"),0,IF(Z28&gt;Z27,1,0))</f>
        <v>0</v>
      </c>
    </row>
    <row r="28" spans="1:55" ht="24.95" customHeight="1" thickBot="1">
      <c r="A28" s="411"/>
      <c r="B28" s="248">
        <v>18</v>
      </c>
      <c r="C28" s="249"/>
      <c r="D28" s="250"/>
      <c r="E28" s="381" t="str">
        <f>IF(ISNA(MATCH(B28,'Liste Equipes_Tirage'!$D$2:$D$21,0)),"",INDEX('Liste Equipes_Tirage'!$B$2:$B$21,MATCH(B28,'Liste Equipes_Tirage'!$D$2:$D$21,0)))</f>
        <v xml:space="preserve">SOUCHE Thierry </v>
      </c>
      <c r="F28" s="260"/>
      <c r="G28" s="189">
        <f>IF(F28&gt;F27,2,0)</f>
        <v>0</v>
      </c>
      <c r="H28" s="189">
        <f t="shared" si="20"/>
        <v>0</v>
      </c>
      <c r="I28" s="189">
        <f>+F27</f>
        <v>0</v>
      </c>
      <c r="J28" s="189">
        <f>F28-F27</f>
        <v>0</v>
      </c>
      <c r="K28" s="189">
        <f>G28/2</f>
        <v>0</v>
      </c>
      <c r="L28" s="236"/>
      <c r="M28" s="249"/>
      <c r="N28" s="237"/>
      <c r="O28" s="306" t="str">
        <f>+E28</f>
        <v xml:space="preserve">SOUCHE Thierry </v>
      </c>
      <c r="P28" s="261"/>
      <c r="Q28" s="189">
        <f>IF(P28&gt;P27,2,0)</f>
        <v>0</v>
      </c>
      <c r="R28" s="189">
        <f t="shared" si="21"/>
        <v>0</v>
      </c>
      <c r="S28" s="189">
        <f>+P27</f>
        <v>0</v>
      </c>
      <c r="T28" s="189">
        <f>P28-P27</f>
        <v>0</v>
      </c>
      <c r="U28" s="189">
        <f>Q28/2</f>
        <v>0</v>
      </c>
      <c r="V28" s="201"/>
      <c r="W28" s="249"/>
      <c r="X28" s="250"/>
      <c r="Y28" s="305" t="str">
        <f>+E27</f>
        <v>EYRAUD Jean-Paul</v>
      </c>
      <c r="Z28" s="261"/>
      <c r="AA28" s="189">
        <f>IF(Z28&gt;Z27,2,0)</f>
        <v>0</v>
      </c>
      <c r="AB28" s="189">
        <f t="shared" si="22"/>
        <v>0</v>
      </c>
      <c r="AC28" s="189">
        <f>+Z27</f>
        <v>0</v>
      </c>
      <c r="AD28" s="189">
        <f>Z28-Z27</f>
        <v>0</v>
      </c>
      <c r="AE28" s="189">
        <f>AA28/2</f>
        <v>0</v>
      </c>
      <c r="AF28" s="201"/>
      <c r="AG28" s="254" t="str">
        <f t="shared" si="23"/>
        <v xml:space="preserve"> </v>
      </c>
      <c r="AH28" s="332">
        <f t="shared" si="30"/>
        <v>0</v>
      </c>
      <c r="AI28" s="255">
        <f t="shared" si="31"/>
        <v>0</v>
      </c>
      <c r="AJ28" s="255">
        <f t="shared" si="32"/>
        <v>0</v>
      </c>
      <c r="AK28" s="256">
        <f t="shared" si="24"/>
        <v>0</v>
      </c>
      <c r="AL28" s="353">
        <v>0</v>
      </c>
      <c r="AM28" s="376">
        <f t="shared" si="14"/>
        <v>0</v>
      </c>
      <c r="AN28" s="182">
        <f t="shared" si="15"/>
        <v>2.00000000028</v>
      </c>
      <c r="AO28" s="183">
        <f>IF(AG28="","",SMALL(AN$25:AN$30,ROWS(AO$25:AO28)))</f>
        <v>2.00000000027</v>
      </c>
      <c r="AQ28" s="184">
        <f>IF(AO28="","",IF(AND(AS27=AS28,AV27=AV28,AT28=AT27,AU27=AU28,AW27=AW28),AQ27,$AQ$25+3))</f>
        <v>2</v>
      </c>
      <c r="AR28" s="369" t="str">
        <f t="shared" si="25"/>
        <v xml:space="preserve"> </v>
      </c>
      <c r="AS28" s="373">
        <f t="shared" si="26"/>
        <v>0</v>
      </c>
      <c r="AT28" s="307">
        <f t="shared" si="27"/>
        <v>0</v>
      </c>
      <c r="AU28" s="361">
        <f t="shared" si="28"/>
        <v>0</v>
      </c>
      <c r="AV28" s="369">
        <f t="shared" si="33"/>
        <v>0</v>
      </c>
      <c r="AW28" s="365">
        <f t="shared" si="34"/>
        <v>0</v>
      </c>
      <c r="AY28" s="262" t="str">
        <f>+E28</f>
        <v xml:space="preserve">SOUCHE Thierry </v>
      </c>
      <c r="AZ28" s="263">
        <f>SUM(BA28:BC28)</f>
        <v>0</v>
      </c>
      <c r="BA28" s="258">
        <f>IF(OR(E27:E28="OFFICE"),0,IF(F27&lt;F28,1,0))</f>
        <v>0</v>
      </c>
      <c r="BB28" s="264">
        <f>IF(OR(O27:O28="OFFICE"),0,IF(P28&gt;P27,1,0))</f>
        <v>0</v>
      </c>
      <c r="BC28" s="265">
        <f t="array" ref="BC28">IF(OR(Y29:Y30="OFFICE"),0,IF(Z29&gt;Z30,1,0))</f>
        <v>0</v>
      </c>
    </row>
    <row r="29" spans="1:55" ht="24.95" customHeight="1" thickBot="1">
      <c r="A29" s="411"/>
      <c r="B29" s="266">
        <v>19</v>
      </c>
      <c r="C29" s="267"/>
      <c r="D29" s="239"/>
      <c r="E29" s="382" t="str">
        <f>IF(ISNA(MATCH(B29,'Liste Equipes_Tirage'!$D$2:$D$21,0)),"",INDEX('Liste Equipes_Tirage'!$B$2:$B$21,MATCH(B29,'Liste Equipes_Tirage'!$D$2:$D$21,0)))</f>
        <v>JOUVE GERARD</v>
      </c>
      <c r="F29" s="235">
        <v>13</v>
      </c>
      <c r="G29" s="189">
        <f>IF(F29&gt;F30,2,0)</f>
        <v>2</v>
      </c>
      <c r="H29" s="189">
        <f t="shared" si="20"/>
        <v>13</v>
      </c>
      <c r="I29" s="189">
        <f>+F30</f>
        <v>7</v>
      </c>
      <c r="J29" s="189">
        <f>F29-F30</f>
        <v>6</v>
      </c>
      <c r="K29" s="268">
        <v>0</v>
      </c>
      <c r="L29" s="236"/>
      <c r="M29" s="269"/>
      <c r="N29" s="239"/>
      <c r="O29" s="270" t="str">
        <f>+E27</f>
        <v>EYRAUD Jean-Paul</v>
      </c>
      <c r="P29" s="196">
        <v>13</v>
      </c>
      <c r="Q29" s="189">
        <f>IF(P29&gt;P30,2,0)</f>
        <v>2</v>
      </c>
      <c r="R29" s="189">
        <f t="shared" si="21"/>
        <v>13</v>
      </c>
      <c r="S29" s="189">
        <f>+P30</f>
        <v>7</v>
      </c>
      <c r="T29" s="189">
        <f>P29-P30</f>
        <v>6</v>
      </c>
      <c r="U29" s="268">
        <v>0</v>
      </c>
      <c r="V29" s="201"/>
      <c r="W29" s="267"/>
      <c r="X29" s="269"/>
      <c r="Y29" s="271" t="str">
        <f>+E28</f>
        <v xml:space="preserve">SOUCHE Thierry </v>
      </c>
      <c r="Z29" s="196">
        <v>13</v>
      </c>
      <c r="AA29" s="189">
        <f>IF(Z29&gt;Z30,2,0)</f>
        <v>2</v>
      </c>
      <c r="AB29" s="189">
        <f t="shared" si="22"/>
        <v>13</v>
      </c>
      <c r="AC29" s="189">
        <f>+Z30</f>
        <v>7</v>
      </c>
      <c r="AD29" s="189">
        <f>Z29-Z30</f>
        <v>6</v>
      </c>
      <c r="AE29" s="268">
        <v>0</v>
      </c>
      <c r="AF29" s="201"/>
      <c r="AG29" s="272" t="str">
        <f t="shared" si="23"/>
        <v>JOUVE GERARD</v>
      </c>
      <c r="AH29" s="336">
        <f t="shared" si="30"/>
        <v>2</v>
      </c>
      <c r="AI29" s="337">
        <f t="shared" si="31"/>
        <v>13</v>
      </c>
      <c r="AJ29" s="337">
        <f t="shared" si="32"/>
        <v>7</v>
      </c>
      <c r="AK29" s="273">
        <f t="shared" si="24"/>
        <v>6</v>
      </c>
      <c r="AL29" s="354">
        <v>0</v>
      </c>
      <c r="AM29" s="376">
        <f t="shared" si="14"/>
        <v>0</v>
      </c>
      <c r="AN29" s="182">
        <f t="shared" si="15"/>
        <v>0.99270000029000005</v>
      </c>
      <c r="AO29" s="183">
        <f>IF(AG29="","",SMALL(AN$25:AN$30,ROWS(AO$25:AO29)))</f>
        <v>2.00000000028</v>
      </c>
      <c r="AQ29" s="262">
        <f>IF(AO29="","",IF(AND(AS28=AS29,AV28=AV29,AT29=AT28,AU28=AU29,AW28=AW29),AQ28,$AQ$25+4))</f>
        <v>2</v>
      </c>
      <c r="AR29" s="370" t="str">
        <f t="shared" si="25"/>
        <v xml:space="preserve"> </v>
      </c>
      <c r="AS29" s="374">
        <f t="shared" si="26"/>
        <v>0</v>
      </c>
      <c r="AT29" s="340">
        <f t="shared" si="27"/>
        <v>0</v>
      </c>
      <c r="AU29" s="362">
        <f t="shared" si="28"/>
        <v>0</v>
      </c>
      <c r="AV29" s="370">
        <f t="shared" si="33"/>
        <v>0</v>
      </c>
      <c r="AW29" s="365">
        <f t="shared" si="34"/>
        <v>0</v>
      </c>
      <c r="AY29" s="185" t="str">
        <f>+E29</f>
        <v>JOUVE GERARD</v>
      </c>
      <c r="AZ29" s="274">
        <f>SUM(BA29:BC29)</f>
        <v>0</v>
      </c>
      <c r="BA29" s="275">
        <f t="array" ref="BA29">IF(OR(E29:E30="OFFICE"),0,IF(F29&gt;F30,1,0))</f>
        <v>0</v>
      </c>
      <c r="BB29" s="276">
        <f t="array" ref="BB29">IF(OR(O25:O26="OFFICE"),0,IF(P25&gt;P26,1,0))</f>
        <v>0</v>
      </c>
      <c r="BC29" s="277">
        <f t="array" ref="BC29">IF(OR(Y25:Y26="OFFICE"),0,IF(Z26&gt;Z25,1,0))</f>
        <v>0</v>
      </c>
    </row>
    <row r="30" spans="1:55" ht="28.5" customHeight="1" thickBot="1">
      <c r="A30" s="412"/>
      <c r="B30" s="278">
        <v>20</v>
      </c>
      <c r="C30" s="279"/>
      <c r="D30" s="250"/>
      <c r="E30" s="383" t="str">
        <f>IF(ISNA(MATCH(B30,'Liste Equipes_Tirage'!$D$2:$D$21,0)),"",INDEX('Liste Equipes_Tirage'!$B$2:$B$21,MATCH(B30,'Liste Equipes_Tirage'!$D$2:$D$21,0)))</f>
        <v>OFFICE</v>
      </c>
      <c r="F30" s="251">
        <v>7</v>
      </c>
      <c r="G30" s="281">
        <v>0</v>
      </c>
      <c r="H30" s="282">
        <f t="shared" si="20"/>
        <v>7</v>
      </c>
      <c r="I30" s="282">
        <f>+F29</f>
        <v>13</v>
      </c>
      <c r="J30" s="282">
        <f>F30-F29</f>
        <v>-6</v>
      </c>
      <c r="K30" s="283"/>
      <c r="L30" s="284"/>
      <c r="M30" s="280"/>
      <c r="N30" s="250"/>
      <c r="O30" s="285" t="str">
        <f>+E30</f>
        <v>OFFICE</v>
      </c>
      <c r="P30" s="205">
        <v>7</v>
      </c>
      <c r="Q30" s="281">
        <v>0</v>
      </c>
      <c r="R30" s="282">
        <f t="shared" si="21"/>
        <v>7</v>
      </c>
      <c r="S30" s="282">
        <f>+P29</f>
        <v>13</v>
      </c>
      <c r="T30" s="282">
        <f>P30-P29</f>
        <v>-6</v>
      </c>
      <c r="U30" s="283"/>
      <c r="V30" s="201"/>
      <c r="W30" s="279"/>
      <c r="X30" s="280"/>
      <c r="Y30" s="286" t="str">
        <f>+O30</f>
        <v>OFFICE</v>
      </c>
      <c r="Z30" s="205">
        <v>7</v>
      </c>
      <c r="AA30" s="281">
        <v>0</v>
      </c>
      <c r="AB30" s="282">
        <f t="shared" si="22"/>
        <v>7</v>
      </c>
      <c r="AC30" s="282">
        <f>+Z29</f>
        <v>13</v>
      </c>
      <c r="AD30" s="282">
        <f>Z30-Z29</f>
        <v>-6</v>
      </c>
      <c r="AE30" s="283"/>
      <c r="AF30" s="201"/>
      <c r="AG30" s="287" t="str">
        <f t="shared" si="23"/>
        <v>OFFICE</v>
      </c>
      <c r="AH30" s="338">
        <f t="shared" si="30"/>
        <v>0</v>
      </c>
      <c r="AI30" s="288">
        <f t="shared" si="31"/>
        <v>21</v>
      </c>
      <c r="AJ30" s="288">
        <f t="shared" si="32"/>
        <v>39</v>
      </c>
      <c r="AK30" s="288">
        <f t="shared" si="24"/>
        <v>-18</v>
      </c>
      <c r="AL30" s="355">
        <v>0</v>
      </c>
      <c r="AM30" s="376">
        <f t="shared" si="14"/>
        <v>0</v>
      </c>
      <c r="AN30" s="182">
        <f t="shared" si="15"/>
        <v>2.0159000002999998</v>
      </c>
      <c r="AO30" s="183">
        <f>IF(AG30="","",SMALL(AN$25:AN$30,ROWS(AO$25:AO30)))</f>
        <v>2.0159000002999998</v>
      </c>
      <c r="AP30" s="201"/>
      <c r="AQ30" s="339">
        <f>IF(AO30="","",IF(AND(AS29=AS30,AV29=AV30,AT30=AT29,AU29=AU30,AW29=AW30),AQ29,$AQ$25+5))</f>
        <v>6</v>
      </c>
      <c r="AR30" s="371" t="str">
        <f t="shared" si="25"/>
        <v>OFFICE</v>
      </c>
      <c r="AS30" s="375">
        <f t="shared" si="26"/>
        <v>0</v>
      </c>
      <c r="AT30" s="341">
        <f t="shared" si="27"/>
        <v>21</v>
      </c>
      <c r="AU30" s="363">
        <f t="shared" si="28"/>
        <v>39</v>
      </c>
      <c r="AV30" s="371"/>
      <c r="AW30" s="366">
        <f t="shared" si="34"/>
        <v>0</v>
      </c>
      <c r="AY30" s="185" t="str">
        <f>+E30</f>
        <v>OFFICE</v>
      </c>
      <c r="AZ30" s="289"/>
      <c r="BA30" s="290"/>
      <c r="BB30" s="290"/>
      <c r="BC30" s="291"/>
    </row>
    <row r="31" spans="1:55">
      <c r="B31" s="292"/>
      <c r="C31" s="292"/>
      <c r="D31" s="292"/>
      <c r="E31" s="143"/>
      <c r="F31" s="292"/>
      <c r="G31" s="189">
        <f>SUM(G25:G30)</f>
        <v>2</v>
      </c>
      <c r="H31" s="189">
        <f>SUM(H25:H30)</f>
        <v>20</v>
      </c>
      <c r="I31" s="189">
        <f>SUM(I25:I30)</f>
        <v>20</v>
      </c>
      <c r="J31" s="189">
        <f>SUM(J25:J30)</f>
        <v>0</v>
      </c>
      <c r="K31" s="192"/>
      <c r="L31" s="192"/>
      <c r="M31" s="192"/>
      <c r="N31" s="192"/>
      <c r="O31" s="192"/>
      <c r="P31" s="192"/>
      <c r="Q31" s="192">
        <f>SUM(Q25:Q30)</f>
        <v>2</v>
      </c>
      <c r="R31" s="192">
        <f>SUM(R25:R30)</f>
        <v>20</v>
      </c>
      <c r="S31" s="192">
        <f>SUM(S25:S30)</f>
        <v>20</v>
      </c>
      <c r="T31" s="192">
        <f>SUM(T25:T30)</f>
        <v>0</v>
      </c>
      <c r="U31" s="293"/>
      <c r="V31" s="293"/>
      <c r="W31" s="293"/>
      <c r="X31" s="293"/>
      <c r="Y31" s="293"/>
      <c r="Z31" s="294"/>
      <c r="AA31" s="295">
        <f>SUM(AA25:AA30)</f>
        <v>2</v>
      </c>
      <c r="AB31" s="189">
        <f>SUM(AB25:AB30)</f>
        <v>20</v>
      </c>
      <c r="AC31" s="189">
        <f>SUM(AC25:AC30)</f>
        <v>20</v>
      </c>
      <c r="AD31" s="189">
        <f>SUM(AD25:AD30)</f>
        <v>0</v>
      </c>
      <c r="AE31" s="296"/>
      <c r="AF31" s="201"/>
      <c r="AG31" s="143"/>
      <c r="AH31" s="192">
        <f>SUM(AH25:AH30)</f>
        <v>2</v>
      </c>
      <c r="AI31" s="192">
        <f>SUM(AI25:AI30)</f>
        <v>34</v>
      </c>
      <c r="AJ31" s="192">
        <f>SUM(AJ25:AJ30)</f>
        <v>46</v>
      </c>
      <c r="AK31" s="297">
        <f>SUM(AK25:AK30)</f>
        <v>-12</v>
      </c>
      <c r="AL31" s="201"/>
      <c r="AM31" s="201"/>
      <c r="AN31" s="292"/>
      <c r="AO31" s="292"/>
      <c r="AP31" s="201"/>
      <c r="AQ31" s="192"/>
      <c r="AR31" s="192"/>
      <c r="AS31" s="192">
        <f>SUM(AS25:AS30)</f>
        <v>2</v>
      </c>
      <c r="AT31" s="192">
        <f>SUM(AT25:AT30)</f>
        <v>34</v>
      </c>
      <c r="AU31" s="189">
        <f>SUM(AU25:AU30)</f>
        <v>46</v>
      </c>
      <c r="AV31" s="143">
        <f>SUM(AV25:AV30)</f>
        <v>6</v>
      </c>
      <c r="AW31"/>
      <c r="AX31" s="197"/>
      <c r="AZ31" s="192">
        <f>SUM(AZ25:AZ29)</f>
        <v>0</v>
      </c>
      <c r="BA31" s="192">
        <f>SUM(BA25:BA29)</f>
        <v>0</v>
      </c>
      <c r="BB31" s="192">
        <f>SUM(BB25:BB29)</f>
        <v>0</v>
      </c>
      <c r="BC31" s="192">
        <f>SUM(BC25:BC29)</f>
        <v>0</v>
      </c>
    </row>
    <row r="32" spans="1:55">
      <c r="B32" s="292"/>
      <c r="C32" s="292"/>
      <c r="D32" s="292"/>
      <c r="E32" s="292"/>
      <c r="F32" s="292"/>
      <c r="G32" s="143" t="s">
        <v>87</v>
      </c>
      <c r="H32" s="143" t="s">
        <v>88</v>
      </c>
      <c r="I32" s="143" t="s">
        <v>89</v>
      </c>
      <c r="J32" s="143" t="s">
        <v>90</v>
      </c>
      <c r="K32" s="143" t="s">
        <v>91</v>
      </c>
      <c r="L32" s="292"/>
      <c r="M32" s="292"/>
      <c r="N32" s="143"/>
      <c r="O32" s="292"/>
      <c r="P32" s="292"/>
      <c r="Q32" s="143" t="s">
        <v>87</v>
      </c>
      <c r="R32" s="143" t="s">
        <v>88</v>
      </c>
      <c r="S32" s="143" t="s">
        <v>89</v>
      </c>
      <c r="T32" s="143" t="s">
        <v>90</v>
      </c>
      <c r="U32" s="143" t="s">
        <v>91</v>
      </c>
      <c r="V32" s="201"/>
      <c r="W32" s="292"/>
      <c r="X32" s="292"/>
      <c r="Y32" s="292"/>
      <c r="Z32" s="292"/>
      <c r="AA32" s="143" t="s">
        <v>87</v>
      </c>
      <c r="AB32" s="143" t="s">
        <v>88</v>
      </c>
      <c r="AC32" s="143" t="s">
        <v>89</v>
      </c>
      <c r="AD32" s="143" t="s">
        <v>90</v>
      </c>
      <c r="AE32" s="143" t="s">
        <v>91</v>
      </c>
      <c r="AF32" s="201"/>
      <c r="AG32" s="292"/>
      <c r="AL32" s="292"/>
      <c r="AM32" s="292"/>
      <c r="AN32" s="292"/>
      <c r="AO32" s="292"/>
      <c r="AP32" s="201"/>
      <c r="AQ32" s="292"/>
      <c r="AR32" s="292"/>
      <c r="AW32" s="292"/>
      <c r="AX32" s="298"/>
      <c r="AY32" s="297"/>
    </row>
    <row r="33" spans="1:2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S33" s="189">
        <v>24</v>
      </c>
      <c r="T33" s="189">
        <v>8</v>
      </c>
      <c r="U33" s="189">
        <v>8</v>
      </c>
      <c r="V33" s="189">
        <v>8</v>
      </c>
    </row>
    <row r="34" spans="1:2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</row>
    <row r="35" spans="1:2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  <row r="36" spans="1:2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</row>
    <row r="37" spans="1:2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</row>
    <row r="38" spans="1:2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</row>
    <row r="39" spans="1:2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</row>
    <row r="40" spans="1:2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</row>
    <row r="41" spans="1:2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</row>
    <row r="42" spans="1:2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</row>
    <row r="43" spans="1:2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</row>
    <row r="44" spans="1:2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</row>
    <row r="45" spans="1:2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</row>
    <row r="46" spans="1:2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</row>
    <row r="47" spans="1:2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</row>
    <row r="48" spans="1:2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</row>
    <row r="49" spans="1:17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</row>
    <row r="50" spans="1:17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</row>
    <row r="51" spans="1:17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</row>
    <row r="52" spans="1:17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</row>
    <row r="53" spans="1:17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</row>
    <row r="54" spans="1:17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</row>
    <row r="55" spans="1:17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</row>
    <row r="56" spans="1:17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</row>
    <row r="57" spans="1:17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</row>
  </sheetData>
  <sheetProtection sheet="1" objects="1" scenarios="1"/>
  <mergeCells count="21">
    <mergeCell ref="C1:L1"/>
    <mergeCell ref="M1:O1"/>
    <mergeCell ref="C2:L2"/>
    <mergeCell ref="M2:O2"/>
    <mergeCell ref="C4:F4"/>
    <mergeCell ref="M4:P4"/>
    <mergeCell ref="AY4:BC4"/>
    <mergeCell ref="AZ16:BB16"/>
    <mergeCell ref="A25:A30"/>
    <mergeCell ref="C16:F16"/>
    <mergeCell ref="M16:P16"/>
    <mergeCell ref="W16:Z16"/>
    <mergeCell ref="A18:A23"/>
    <mergeCell ref="A11:A14"/>
    <mergeCell ref="C11:C12"/>
    <mergeCell ref="C13:C14"/>
    <mergeCell ref="A7:A10"/>
    <mergeCell ref="C7:C8"/>
    <mergeCell ref="C9:C10"/>
    <mergeCell ref="AI15:AJ15"/>
    <mergeCell ref="W4:Z4"/>
  </mergeCells>
  <conditionalFormatting sqref="E15 E17">
    <cfRule type="cellIs" dxfId="35" priority="83" stopIfTrue="1" operator="equal">
      <formula>"OFFICE"</formula>
    </cfRule>
  </conditionalFormatting>
  <conditionalFormatting sqref="F7:F8">
    <cfRule type="iconSet" priority="20">
      <iconSet>
        <cfvo type="percent" val="0"/>
        <cfvo type="percent" val="12"/>
        <cfvo type="percent" val="13"/>
      </iconSet>
    </cfRule>
    <cfRule type="iconSet" priority="21">
      <iconSet>
        <cfvo type="percent" val="0"/>
        <cfvo type="percent" val="12"/>
        <cfvo type="percent" val="13"/>
      </iconSet>
    </cfRule>
  </conditionalFormatting>
  <conditionalFormatting sqref="F9:F10">
    <cfRule type="iconSet" priority="17">
      <iconSet>
        <cfvo type="percent" val="0"/>
        <cfvo type="percent" val="12"/>
        <cfvo type="percent" val="13"/>
      </iconSet>
    </cfRule>
    <cfRule type="duplicateValues" dxfId="34" priority="18"/>
    <cfRule type="iconSet" priority="19">
      <iconSet>
        <cfvo type="percent" val="0"/>
        <cfvo type="percent" val="12"/>
        <cfvo type="percent" val="13"/>
      </iconSet>
    </cfRule>
  </conditionalFormatting>
  <conditionalFormatting sqref="F11:F12">
    <cfRule type="iconSet" priority="16">
      <iconSet>
        <cfvo type="percent" val="0"/>
        <cfvo type="percent" val="12"/>
        <cfvo type="percent" val="13"/>
      </iconSet>
    </cfRule>
  </conditionalFormatting>
  <conditionalFormatting sqref="F13:F14">
    <cfRule type="iconSet" priority="3">
      <iconSet>
        <cfvo type="percent" val="0"/>
        <cfvo type="percent" val="12"/>
        <cfvo type="percent" val="13"/>
      </iconSet>
    </cfRule>
  </conditionalFormatting>
  <conditionalFormatting sqref="F18:F19">
    <cfRule type="iconSet" priority="51">
      <iconSet>
        <cfvo type="percent" val="0"/>
        <cfvo type="percent" val="12"/>
        <cfvo type="percent" val="13"/>
      </iconSet>
    </cfRule>
    <cfRule type="iconSet" priority="50">
      <iconSet>
        <cfvo type="percent" val="0"/>
        <cfvo type="percent" val="12"/>
        <cfvo type="percent" val="13"/>
      </iconSet>
    </cfRule>
  </conditionalFormatting>
  <conditionalFormatting sqref="F20:F21">
    <cfRule type="duplicateValues" dxfId="33" priority="48"/>
    <cfRule type="iconSet" priority="47">
      <iconSet>
        <cfvo type="percent" val="0"/>
        <cfvo type="percent" val="12"/>
        <cfvo type="percent" val="13"/>
      </iconSet>
    </cfRule>
    <cfRule type="iconSet" priority="49">
      <iconSet>
        <cfvo type="percent" val="0"/>
        <cfvo type="percent" val="12"/>
        <cfvo type="percent" val="13"/>
      </iconSet>
    </cfRule>
  </conditionalFormatting>
  <conditionalFormatting sqref="F22:F23">
    <cfRule type="iconSet" priority="46">
      <iconSet>
        <cfvo type="percent" val="0"/>
        <cfvo type="percent" val="12"/>
        <cfvo type="percent" val="13"/>
      </iconSet>
    </cfRule>
  </conditionalFormatting>
  <conditionalFormatting sqref="F25:F26">
    <cfRule type="iconSet" priority="26">
      <iconSet>
        <cfvo type="percent" val="0"/>
        <cfvo type="percent" val="12"/>
        <cfvo type="percent" val="13"/>
      </iconSet>
    </cfRule>
    <cfRule type="iconSet" priority="27">
      <iconSet>
        <cfvo type="percent" val="0"/>
        <cfvo type="percent" val="12"/>
        <cfvo type="percent" val="13"/>
      </iconSet>
    </cfRule>
  </conditionalFormatting>
  <conditionalFormatting sqref="F27:F28">
    <cfRule type="duplicateValues" dxfId="32" priority="24"/>
    <cfRule type="iconSet" priority="23">
      <iconSet>
        <cfvo type="percent" val="0"/>
        <cfvo type="percent" val="12"/>
        <cfvo type="percent" val="13"/>
      </iconSet>
    </cfRule>
    <cfRule type="iconSet" priority="25">
      <iconSet>
        <cfvo type="percent" val="0"/>
        <cfvo type="percent" val="12"/>
        <cfvo type="percent" val="13"/>
      </iconSet>
    </cfRule>
  </conditionalFormatting>
  <conditionalFormatting sqref="F29:F30">
    <cfRule type="iconSet" priority="22">
      <iconSet>
        <cfvo type="percent" val="0"/>
        <cfvo type="percent" val="12"/>
        <cfvo type="percent" val="13"/>
      </iconSet>
    </cfRule>
  </conditionalFormatting>
  <conditionalFormatting sqref="N16:P29 C7:F29 G7:P14 W7:AR14 H15:K15 M15:P15 W16:Z16 M16:M22 H17:H22 I17:K29 H24:H26 M24:M26 E24:E30 H28 M28">
    <cfRule type="containsText" dxfId="31" priority="73" operator="containsText" text="OFFICE">
      <formula>NOT(ISERROR(SEARCH("OFFICE",C7)))</formula>
    </cfRule>
  </conditionalFormatting>
  <conditionalFormatting sqref="P7:P8">
    <cfRule type="iconSet" priority="14">
      <iconSet>
        <cfvo type="percent" val="0"/>
        <cfvo type="percent" val="12"/>
        <cfvo type="percent" val="13"/>
      </iconSet>
    </cfRule>
    <cfRule type="iconSet" priority="15">
      <iconSet>
        <cfvo type="percent" val="0"/>
        <cfvo type="percent" val="12"/>
        <cfvo type="percent" val="13"/>
      </iconSet>
    </cfRule>
  </conditionalFormatting>
  <conditionalFormatting sqref="P9:P10">
    <cfRule type="iconSet" priority="11">
      <iconSet>
        <cfvo type="percent" val="0"/>
        <cfvo type="percent" val="12"/>
        <cfvo type="percent" val="13"/>
      </iconSet>
    </cfRule>
    <cfRule type="duplicateValues" dxfId="30" priority="12"/>
    <cfRule type="iconSet" priority="13">
      <iconSet>
        <cfvo type="percent" val="0"/>
        <cfvo type="percent" val="12"/>
        <cfvo type="percent" val="13"/>
      </iconSet>
    </cfRule>
  </conditionalFormatting>
  <conditionalFormatting sqref="P11:P12">
    <cfRule type="iconSet" priority="10">
      <iconSet>
        <cfvo type="percent" val="0"/>
        <cfvo type="percent" val="12"/>
        <cfvo type="percent" val="13"/>
      </iconSet>
    </cfRule>
  </conditionalFormatting>
  <conditionalFormatting sqref="P13:P14">
    <cfRule type="iconSet" priority="2">
      <iconSet>
        <cfvo type="percent" val="0"/>
        <cfvo type="percent" val="12"/>
        <cfvo type="percent" val="13"/>
      </iconSet>
    </cfRule>
  </conditionalFormatting>
  <conditionalFormatting sqref="P18:P19">
    <cfRule type="iconSet" priority="68">
      <iconSet>
        <cfvo type="percent" val="0"/>
        <cfvo type="percent" val="12"/>
        <cfvo type="percent" val="13"/>
      </iconSet>
    </cfRule>
    <cfRule type="iconSet" priority="64">
      <iconSet>
        <cfvo type="percent" val="0"/>
        <cfvo type="percent" val="12"/>
        <cfvo type="percent" val="13"/>
      </iconSet>
    </cfRule>
    <cfRule type="iconSet" priority="63">
      <iconSet>
        <cfvo type="percent" val="0"/>
        <cfvo type="percent" val="12"/>
        <cfvo type="percent" val="13"/>
      </iconSet>
    </cfRule>
  </conditionalFormatting>
  <conditionalFormatting sqref="P20:P21">
    <cfRule type="iconSet" priority="60">
      <iconSet>
        <cfvo type="percent" val="0"/>
        <cfvo type="percent" val="12"/>
        <cfvo type="percent" val="13"/>
      </iconSet>
    </cfRule>
    <cfRule type="iconSet" priority="62">
      <iconSet>
        <cfvo type="percent" val="0"/>
        <cfvo type="percent" val="12"/>
        <cfvo type="percent" val="13"/>
      </iconSet>
    </cfRule>
    <cfRule type="iconSet" priority="67">
      <iconSet>
        <cfvo type="percent" val="0"/>
        <cfvo type="percent" val="12"/>
        <cfvo type="percent" val="13"/>
      </iconSet>
    </cfRule>
    <cfRule type="duplicateValues" dxfId="29" priority="61"/>
  </conditionalFormatting>
  <conditionalFormatting sqref="P22:P23">
    <cfRule type="iconSet" priority="66">
      <iconSet>
        <cfvo type="percent" val="0"/>
        <cfvo type="percent" val="12"/>
        <cfvo type="percent" val="13"/>
      </iconSet>
    </cfRule>
  </conditionalFormatting>
  <conditionalFormatting sqref="P25:P26">
    <cfRule type="iconSet" priority="40">
      <iconSet>
        <cfvo type="percent" val="0"/>
        <cfvo type="percent" val="12"/>
        <cfvo type="percent" val="13"/>
      </iconSet>
    </cfRule>
    <cfRule type="iconSet" priority="39">
      <iconSet>
        <cfvo type="percent" val="0"/>
        <cfvo type="percent" val="12"/>
        <cfvo type="percent" val="13"/>
      </iconSet>
    </cfRule>
    <cfRule type="iconSet" priority="44">
      <iconSet>
        <cfvo type="percent" val="0"/>
        <cfvo type="percent" val="12"/>
        <cfvo type="percent" val="13"/>
      </iconSet>
    </cfRule>
  </conditionalFormatting>
  <conditionalFormatting sqref="P27:P28">
    <cfRule type="iconSet" priority="36">
      <iconSet>
        <cfvo type="percent" val="0"/>
        <cfvo type="percent" val="12"/>
        <cfvo type="percent" val="13"/>
      </iconSet>
    </cfRule>
    <cfRule type="iconSet" priority="43">
      <iconSet>
        <cfvo type="percent" val="0"/>
        <cfvo type="percent" val="12"/>
        <cfvo type="percent" val="13"/>
      </iconSet>
    </cfRule>
    <cfRule type="iconSet" priority="38">
      <iconSet>
        <cfvo type="percent" val="0"/>
        <cfvo type="percent" val="12"/>
        <cfvo type="percent" val="13"/>
      </iconSet>
    </cfRule>
    <cfRule type="duplicateValues" dxfId="28" priority="37"/>
  </conditionalFormatting>
  <conditionalFormatting sqref="P29:P30">
    <cfRule type="iconSet" priority="42">
      <iconSet>
        <cfvo type="percent" val="0"/>
        <cfvo type="percent" val="12"/>
        <cfvo type="percent" val="13"/>
      </iconSet>
    </cfRule>
  </conditionalFormatting>
  <conditionalFormatting sqref="Z18:Z19">
    <cfRule type="iconSet" priority="55">
      <iconSet>
        <cfvo type="percent" val="0"/>
        <cfvo type="percent" val="12"/>
        <cfvo type="percent" val="13"/>
      </iconSet>
    </cfRule>
    <cfRule type="iconSet" priority="56">
      <iconSet>
        <cfvo type="percent" val="0"/>
        <cfvo type="percent" val="12"/>
        <cfvo type="percent" val="13"/>
      </iconSet>
    </cfRule>
    <cfRule type="iconSet" priority="58">
      <iconSet>
        <cfvo type="percent" val="0"/>
        <cfvo type="percent" val="12"/>
        <cfvo type="percent" val="13"/>
      </iconSet>
    </cfRule>
  </conditionalFormatting>
  <conditionalFormatting sqref="Z20:Z21">
    <cfRule type="iconSet" priority="52">
      <iconSet>
        <cfvo type="percent" val="0"/>
        <cfvo type="percent" val="12"/>
        <cfvo type="percent" val="13"/>
      </iconSet>
    </cfRule>
    <cfRule type="duplicateValues" dxfId="27" priority="53"/>
    <cfRule type="iconSet" priority="54">
      <iconSet>
        <cfvo type="percent" val="0"/>
        <cfvo type="percent" val="12"/>
        <cfvo type="percent" val="13"/>
      </iconSet>
    </cfRule>
    <cfRule type="iconSet" priority="57">
      <iconSet>
        <cfvo type="percent" val="0"/>
        <cfvo type="percent" val="12"/>
        <cfvo type="percent" val="13"/>
      </iconSet>
    </cfRule>
  </conditionalFormatting>
  <conditionalFormatting sqref="Z22:Z24">
    <cfRule type="iconSet" priority="59">
      <iconSet>
        <cfvo type="percent" val="0"/>
        <cfvo type="percent" val="12"/>
        <cfvo type="percent" val="13"/>
      </iconSet>
    </cfRule>
  </conditionalFormatting>
  <conditionalFormatting sqref="Z25:Z26">
    <cfRule type="iconSet" priority="34">
      <iconSet>
        <cfvo type="percent" val="0"/>
        <cfvo type="percent" val="12"/>
        <cfvo type="percent" val="13"/>
      </iconSet>
    </cfRule>
    <cfRule type="iconSet" priority="32">
      <iconSet>
        <cfvo type="percent" val="0"/>
        <cfvo type="percent" val="12"/>
        <cfvo type="percent" val="13"/>
      </iconSet>
    </cfRule>
    <cfRule type="iconSet" priority="31">
      <iconSet>
        <cfvo type="percent" val="0"/>
        <cfvo type="percent" val="12"/>
        <cfvo type="percent" val="13"/>
      </iconSet>
    </cfRule>
  </conditionalFormatting>
  <conditionalFormatting sqref="Z27:Z28">
    <cfRule type="iconSet" priority="30">
      <iconSet>
        <cfvo type="percent" val="0"/>
        <cfvo type="percent" val="12"/>
        <cfvo type="percent" val="13"/>
      </iconSet>
    </cfRule>
    <cfRule type="iconSet" priority="28">
      <iconSet>
        <cfvo type="percent" val="0"/>
        <cfvo type="percent" val="12"/>
        <cfvo type="percent" val="13"/>
      </iconSet>
    </cfRule>
    <cfRule type="duplicateValues" dxfId="26" priority="29"/>
    <cfRule type="iconSet" priority="33">
      <iconSet>
        <cfvo type="percent" val="0"/>
        <cfvo type="percent" val="12"/>
        <cfvo type="percent" val="13"/>
      </iconSet>
    </cfRule>
  </conditionalFormatting>
  <conditionalFormatting sqref="Z29:Z31">
    <cfRule type="iconSet" priority="35">
      <iconSet>
        <cfvo type="percent" val="0"/>
        <cfvo type="percent" val="12"/>
        <cfvo type="percent" val="13"/>
      </iconSet>
    </cfRule>
  </conditionalFormatting>
  <conditionalFormatting sqref="Z7:AR8">
    <cfRule type="iconSet" priority="169">
      <iconSet>
        <cfvo type="percent" val="0"/>
        <cfvo type="percent" val="12"/>
        <cfvo type="percent" val="13"/>
      </iconSet>
    </cfRule>
    <cfRule type="iconSet" priority="170">
      <iconSet>
        <cfvo type="percent" val="0"/>
        <cfvo type="percent" val="12"/>
        <cfvo type="percent" val="13"/>
      </iconSet>
    </cfRule>
  </conditionalFormatting>
  <conditionalFormatting sqref="Z9:AR10">
    <cfRule type="iconSet" priority="173">
      <iconSet>
        <cfvo type="percent" val="0"/>
        <cfvo type="percent" val="12"/>
        <cfvo type="percent" val="13"/>
      </iconSet>
    </cfRule>
    <cfRule type="duplicateValues" dxfId="25" priority="174"/>
    <cfRule type="iconSet" priority="175">
      <iconSet>
        <cfvo type="percent" val="0"/>
        <cfvo type="percent" val="12"/>
        <cfvo type="percent" val="13"/>
      </iconSet>
    </cfRule>
  </conditionalFormatting>
  <conditionalFormatting sqref="Z11:AR12">
    <cfRule type="iconSet" priority="179">
      <iconSet>
        <cfvo type="percent" val="0"/>
        <cfvo type="percent" val="12"/>
        <cfvo type="percent" val="13"/>
      </iconSet>
    </cfRule>
  </conditionalFormatting>
  <conditionalFormatting sqref="Z13:AR14">
    <cfRule type="iconSet" priority="183">
      <iconSet>
        <cfvo type="percent" val="0"/>
        <cfvo type="percent" val="12"/>
        <cfvo type="percent" val="13"/>
      </iconSet>
    </cfRule>
  </conditionalFormatting>
  <conditionalFormatting sqref="AQ18:AQ23">
    <cfRule type="duplicateValues" dxfId="24" priority="65"/>
  </conditionalFormatting>
  <conditionalFormatting sqref="AQ25:AQ30">
    <cfRule type="duplicateValues" dxfId="23" priority="41"/>
  </conditionalFormatting>
  <printOptions horizontalCentered="1"/>
  <pageMargins left="0.22" right="0.5" top="0.47" bottom="0.4" header="0.21" footer="0.25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B30"/>
  <sheetViews>
    <sheetView zoomScale="80" zoomScaleNormal="80" workbookViewId="0">
      <selection activeCell="T23" sqref="T23"/>
    </sheetView>
  </sheetViews>
  <sheetFormatPr baseColWidth="10" defaultColWidth="11.42578125" defaultRowHeight="12.75"/>
  <cols>
    <col min="1" max="1" width="6" style="1" customWidth="1"/>
    <col min="2" max="2" width="1.85546875" style="1" customWidth="1"/>
    <col min="3" max="3" width="31.5703125" style="1" customWidth="1"/>
    <col min="4" max="4" width="8.42578125" style="1" customWidth="1"/>
    <col min="5" max="5" width="5.28515625" style="1" customWidth="1"/>
    <col min="6" max="6" width="6" style="1" customWidth="1"/>
    <col min="7" max="7" width="1.85546875" style="1" customWidth="1"/>
    <col min="8" max="8" width="32.7109375" style="1" customWidth="1"/>
    <col min="9" max="9" width="8.140625" style="1" customWidth="1"/>
    <col min="10" max="10" width="3.28515625" style="1" customWidth="1"/>
    <col min="11" max="11" width="6.140625" style="1" customWidth="1"/>
    <col min="12" max="12" width="1.85546875" style="1" customWidth="1"/>
    <col min="13" max="13" width="32.42578125" style="1" customWidth="1"/>
    <col min="14" max="14" width="8.7109375" style="1" customWidth="1"/>
    <col min="15" max="15" width="11.42578125" style="1" customWidth="1"/>
    <col min="16" max="16" width="8.28515625" style="1" customWidth="1"/>
    <col min="17" max="17" width="31.85546875" style="1" customWidth="1"/>
    <col min="18" max="18" width="11.42578125" style="1" customWidth="1"/>
    <col min="19" max="19" width="7" style="1" customWidth="1"/>
    <col min="20" max="20" width="33.140625" style="1" customWidth="1"/>
    <col min="21" max="21" width="12.85546875" style="1" customWidth="1"/>
    <col min="22" max="22" width="16" style="1" customWidth="1"/>
    <col min="23" max="23" width="26.7109375" style="1" customWidth="1"/>
    <col min="24" max="24" width="13.85546875" style="1" customWidth="1"/>
    <col min="25" max="25" width="7.140625" style="1" customWidth="1"/>
    <col min="26" max="26" width="27.140625" style="1" customWidth="1"/>
    <col min="27" max="27" width="14.28515625" style="1" customWidth="1"/>
    <col min="28" max="28" width="5.7109375" style="1" customWidth="1"/>
    <col min="29" max="29" width="11.42578125" style="1" customWidth="1"/>
    <col min="30" max="256" width="11.42578125" style="1"/>
    <col min="257" max="257" width="6" style="1" customWidth="1"/>
    <col min="258" max="258" width="1.85546875" style="1" customWidth="1"/>
    <col min="259" max="259" width="24.7109375" style="1" customWidth="1"/>
    <col min="260" max="260" width="7.28515625" style="1" customWidth="1"/>
    <col min="261" max="261" width="3.28515625" style="1" customWidth="1"/>
    <col min="262" max="262" width="6" style="1" customWidth="1"/>
    <col min="263" max="263" width="1.85546875" style="1" customWidth="1"/>
    <col min="264" max="264" width="24.7109375" style="1" customWidth="1"/>
    <col min="265" max="265" width="7.28515625" style="1" customWidth="1"/>
    <col min="266" max="266" width="3.28515625" style="1" customWidth="1"/>
    <col min="267" max="267" width="6.140625" style="1" customWidth="1"/>
    <col min="268" max="268" width="1.85546875" style="1" customWidth="1"/>
    <col min="269" max="269" width="24.7109375" style="1" customWidth="1"/>
    <col min="270" max="270" width="7.28515625" style="1" customWidth="1"/>
    <col min="271" max="512" width="11.42578125" style="1"/>
    <col min="513" max="513" width="6" style="1" customWidth="1"/>
    <col min="514" max="514" width="1.85546875" style="1" customWidth="1"/>
    <col min="515" max="515" width="24.7109375" style="1" customWidth="1"/>
    <col min="516" max="516" width="7.28515625" style="1" customWidth="1"/>
    <col min="517" max="517" width="3.28515625" style="1" customWidth="1"/>
    <col min="518" max="518" width="6" style="1" customWidth="1"/>
    <col min="519" max="519" width="1.85546875" style="1" customWidth="1"/>
    <col min="520" max="520" width="24.7109375" style="1" customWidth="1"/>
    <col min="521" max="521" width="7.28515625" style="1" customWidth="1"/>
    <col min="522" max="522" width="3.28515625" style="1" customWidth="1"/>
    <col min="523" max="523" width="6.140625" style="1" customWidth="1"/>
    <col min="524" max="524" width="1.85546875" style="1" customWidth="1"/>
    <col min="525" max="525" width="24.7109375" style="1" customWidth="1"/>
    <col min="526" max="526" width="7.28515625" style="1" customWidth="1"/>
    <col min="527" max="768" width="11.42578125" style="1"/>
    <col min="769" max="769" width="6" style="1" customWidth="1"/>
    <col min="770" max="770" width="1.85546875" style="1" customWidth="1"/>
    <col min="771" max="771" width="24.7109375" style="1" customWidth="1"/>
    <col min="772" max="772" width="7.28515625" style="1" customWidth="1"/>
    <col min="773" max="773" width="3.28515625" style="1" customWidth="1"/>
    <col min="774" max="774" width="6" style="1" customWidth="1"/>
    <col min="775" max="775" width="1.85546875" style="1" customWidth="1"/>
    <col min="776" max="776" width="24.7109375" style="1" customWidth="1"/>
    <col min="777" max="777" width="7.28515625" style="1" customWidth="1"/>
    <col min="778" max="778" width="3.28515625" style="1" customWidth="1"/>
    <col min="779" max="779" width="6.140625" style="1" customWidth="1"/>
    <col min="780" max="780" width="1.85546875" style="1" customWidth="1"/>
    <col min="781" max="781" width="24.7109375" style="1" customWidth="1"/>
    <col min="782" max="782" width="7.28515625" style="1" customWidth="1"/>
    <col min="783" max="1024" width="11.42578125" style="1"/>
    <col min="1025" max="1025" width="6" style="1" customWidth="1"/>
    <col min="1026" max="1026" width="1.85546875" style="1" customWidth="1"/>
    <col min="1027" max="1027" width="24.7109375" style="1" customWidth="1"/>
    <col min="1028" max="1028" width="7.28515625" style="1" customWidth="1"/>
    <col min="1029" max="1029" width="3.28515625" style="1" customWidth="1"/>
    <col min="1030" max="1030" width="6" style="1" customWidth="1"/>
    <col min="1031" max="1031" width="1.85546875" style="1" customWidth="1"/>
    <col min="1032" max="1032" width="24.7109375" style="1" customWidth="1"/>
    <col min="1033" max="1033" width="7.28515625" style="1" customWidth="1"/>
    <col min="1034" max="1034" width="3.28515625" style="1" customWidth="1"/>
    <col min="1035" max="1035" width="6.140625" style="1" customWidth="1"/>
    <col min="1036" max="1036" width="1.85546875" style="1" customWidth="1"/>
    <col min="1037" max="1037" width="24.7109375" style="1" customWidth="1"/>
    <col min="1038" max="1038" width="7.28515625" style="1" customWidth="1"/>
    <col min="1039" max="1280" width="11.42578125" style="1"/>
    <col min="1281" max="1281" width="6" style="1" customWidth="1"/>
    <col min="1282" max="1282" width="1.85546875" style="1" customWidth="1"/>
    <col min="1283" max="1283" width="24.7109375" style="1" customWidth="1"/>
    <col min="1284" max="1284" width="7.28515625" style="1" customWidth="1"/>
    <col min="1285" max="1285" width="3.28515625" style="1" customWidth="1"/>
    <col min="1286" max="1286" width="6" style="1" customWidth="1"/>
    <col min="1287" max="1287" width="1.85546875" style="1" customWidth="1"/>
    <col min="1288" max="1288" width="24.7109375" style="1" customWidth="1"/>
    <col min="1289" max="1289" width="7.28515625" style="1" customWidth="1"/>
    <col min="1290" max="1290" width="3.28515625" style="1" customWidth="1"/>
    <col min="1291" max="1291" width="6.140625" style="1" customWidth="1"/>
    <col min="1292" max="1292" width="1.85546875" style="1" customWidth="1"/>
    <col min="1293" max="1293" width="24.7109375" style="1" customWidth="1"/>
    <col min="1294" max="1294" width="7.28515625" style="1" customWidth="1"/>
    <col min="1295" max="1536" width="11.42578125" style="1"/>
    <col min="1537" max="1537" width="6" style="1" customWidth="1"/>
    <col min="1538" max="1538" width="1.85546875" style="1" customWidth="1"/>
    <col min="1539" max="1539" width="24.7109375" style="1" customWidth="1"/>
    <col min="1540" max="1540" width="7.28515625" style="1" customWidth="1"/>
    <col min="1541" max="1541" width="3.28515625" style="1" customWidth="1"/>
    <col min="1542" max="1542" width="6" style="1" customWidth="1"/>
    <col min="1543" max="1543" width="1.85546875" style="1" customWidth="1"/>
    <col min="1544" max="1544" width="24.7109375" style="1" customWidth="1"/>
    <col min="1545" max="1545" width="7.28515625" style="1" customWidth="1"/>
    <col min="1546" max="1546" width="3.28515625" style="1" customWidth="1"/>
    <col min="1547" max="1547" width="6.140625" style="1" customWidth="1"/>
    <col min="1548" max="1548" width="1.85546875" style="1" customWidth="1"/>
    <col min="1549" max="1549" width="24.7109375" style="1" customWidth="1"/>
    <col min="1550" max="1550" width="7.28515625" style="1" customWidth="1"/>
    <col min="1551" max="1792" width="11.42578125" style="1"/>
    <col min="1793" max="1793" width="6" style="1" customWidth="1"/>
    <col min="1794" max="1794" width="1.85546875" style="1" customWidth="1"/>
    <col min="1795" max="1795" width="24.7109375" style="1" customWidth="1"/>
    <col min="1796" max="1796" width="7.28515625" style="1" customWidth="1"/>
    <col min="1797" max="1797" width="3.28515625" style="1" customWidth="1"/>
    <col min="1798" max="1798" width="6" style="1" customWidth="1"/>
    <col min="1799" max="1799" width="1.85546875" style="1" customWidth="1"/>
    <col min="1800" max="1800" width="24.7109375" style="1" customWidth="1"/>
    <col min="1801" max="1801" width="7.28515625" style="1" customWidth="1"/>
    <col min="1802" max="1802" width="3.28515625" style="1" customWidth="1"/>
    <col min="1803" max="1803" width="6.140625" style="1" customWidth="1"/>
    <col min="1804" max="1804" width="1.85546875" style="1" customWidth="1"/>
    <col min="1805" max="1805" width="24.7109375" style="1" customWidth="1"/>
    <col min="1806" max="1806" width="7.28515625" style="1" customWidth="1"/>
    <col min="1807" max="2048" width="11.42578125" style="1"/>
    <col min="2049" max="2049" width="6" style="1" customWidth="1"/>
    <col min="2050" max="2050" width="1.85546875" style="1" customWidth="1"/>
    <col min="2051" max="2051" width="24.7109375" style="1" customWidth="1"/>
    <col min="2052" max="2052" width="7.28515625" style="1" customWidth="1"/>
    <col min="2053" max="2053" width="3.28515625" style="1" customWidth="1"/>
    <col min="2054" max="2054" width="6" style="1" customWidth="1"/>
    <col min="2055" max="2055" width="1.85546875" style="1" customWidth="1"/>
    <col min="2056" max="2056" width="24.7109375" style="1" customWidth="1"/>
    <col min="2057" max="2057" width="7.28515625" style="1" customWidth="1"/>
    <col min="2058" max="2058" width="3.28515625" style="1" customWidth="1"/>
    <col min="2059" max="2059" width="6.140625" style="1" customWidth="1"/>
    <col min="2060" max="2060" width="1.85546875" style="1" customWidth="1"/>
    <col min="2061" max="2061" width="24.7109375" style="1" customWidth="1"/>
    <col min="2062" max="2062" width="7.28515625" style="1" customWidth="1"/>
    <col min="2063" max="2304" width="11.42578125" style="1"/>
    <col min="2305" max="2305" width="6" style="1" customWidth="1"/>
    <col min="2306" max="2306" width="1.85546875" style="1" customWidth="1"/>
    <col min="2307" max="2307" width="24.7109375" style="1" customWidth="1"/>
    <col min="2308" max="2308" width="7.28515625" style="1" customWidth="1"/>
    <col min="2309" max="2309" width="3.28515625" style="1" customWidth="1"/>
    <col min="2310" max="2310" width="6" style="1" customWidth="1"/>
    <col min="2311" max="2311" width="1.85546875" style="1" customWidth="1"/>
    <col min="2312" max="2312" width="24.7109375" style="1" customWidth="1"/>
    <col min="2313" max="2313" width="7.28515625" style="1" customWidth="1"/>
    <col min="2314" max="2314" width="3.28515625" style="1" customWidth="1"/>
    <col min="2315" max="2315" width="6.140625" style="1" customWidth="1"/>
    <col min="2316" max="2316" width="1.85546875" style="1" customWidth="1"/>
    <col min="2317" max="2317" width="24.7109375" style="1" customWidth="1"/>
    <col min="2318" max="2318" width="7.28515625" style="1" customWidth="1"/>
    <col min="2319" max="2560" width="11.42578125" style="1"/>
    <col min="2561" max="2561" width="6" style="1" customWidth="1"/>
    <col min="2562" max="2562" width="1.85546875" style="1" customWidth="1"/>
    <col min="2563" max="2563" width="24.7109375" style="1" customWidth="1"/>
    <col min="2564" max="2564" width="7.28515625" style="1" customWidth="1"/>
    <col min="2565" max="2565" width="3.28515625" style="1" customWidth="1"/>
    <col min="2566" max="2566" width="6" style="1" customWidth="1"/>
    <col min="2567" max="2567" width="1.85546875" style="1" customWidth="1"/>
    <col min="2568" max="2568" width="24.7109375" style="1" customWidth="1"/>
    <col min="2569" max="2569" width="7.28515625" style="1" customWidth="1"/>
    <col min="2570" max="2570" width="3.28515625" style="1" customWidth="1"/>
    <col min="2571" max="2571" width="6.140625" style="1" customWidth="1"/>
    <col min="2572" max="2572" width="1.85546875" style="1" customWidth="1"/>
    <col min="2573" max="2573" width="24.7109375" style="1" customWidth="1"/>
    <col min="2574" max="2574" width="7.28515625" style="1" customWidth="1"/>
    <col min="2575" max="2816" width="11.42578125" style="1"/>
    <col min="2817" max="2817" width="6" style="1" customWidth="1"/>
    <col min="2818" max="2818" width="1.85546875" style="1" customWidth="1"/>
    <col min="2819" max="2819" width="24.7109375" style="1" customWidth="1"/>
    <col min="2820" max="2820" width="7.28515625" style="1" customWidth="1"/>
    <col min="2821" max="2821" width="3.28515625" style="1" customWidth="1"/>
    <col min="2822" max="2822" width="6" style="1" customWidth="1"/>
    <col min="2823" max="2823" width="1.85546875" style="1" customWidth="1"/>
    <col min="2824" max="2824" width="24.7109375" style="1" customWidth="1"/>
    <col min="2825" max="2825" width="7.28515625" style="1" customWidth="1"/>
    <col min="2826" max="2826" width="3.28515625" style="1" customWidth="1"/>
    <col min="2827" max="2827" width="6.140625" style="1" customWidth="1"/>
    <col min="2828" max="2828" width="1.85546875" style="1" customWidth="1"/>
    <col min="2829" max="2829" width="24.7109375" style="1" customWidth="1"/>
    <col min="2830" max="2830" width="7.28515625" style="1" customWidth="1"/>
    <col min="2831" max="3072" width="11.42578125" style="1"/>
    <col min="3073" max="3073" width="6" style="1" customWidth="1"/>
    <col min="3074" max="3074" width="1.85546875" style="1" customWidth="1"/>
    <col min="3075" max="3075" width="24.7109375" style="1" customWidth="1"/>
    <col min="3076" max="3076" width="7.28515625" style="1" customWidth="1"/>
    <col min="3077" max="3077" width="3.28515625" style="1" customWidth="1"/>
    <col min="3078" max="3078" width="6" style="1" customWidth="1"/>
    <col min="3079" max="3079" width="1.85546875" style="1" customWidth="1"/>
    <col min="3080" max="3080" width="24.7109375" style="1" customWidth="1"/>
    <col min="3081" max="3081" width="7.28515625" style="1" customWidth="1"/>
    <col min="3082" max="3082" width="3.28515625" style="1" customWidth="1"/>
    <col min="3083" max="3083" width="6.140625" style="1" customWidth="1"/>
    <col min="3084" max="3084" width="1.85546875" style="1" customWidth="1"/>
    <col min="3085" max="3085" width="24.7109375" style="1" customWidth="1"/>
    <col min="3086" max="3086" width="7.28515625" style="1" customWidth="1"/>
    <col min="3087" max="3328" width="11.42578125" style="1"/>
    <col min="3329" max="3329" width="6" style="1" customWidth="1"/>
    <col min="3330" max="3330" width="1.85546875" style="1" customWidth="1"/>
    <col min="3331" max="3331" width="24.7109375" style="1" customWidth="1"/>
    <col min="3332" max="3332" width="7.28515625" style="1" customWidth="1"/>
    <col min="3333" max="3333" width="3.28515625" style="1" customWidth="1"/>
    <col min="3334" max="3334" width="6" style="1" customWidth="1"/>
    <col min="3335" max="3335" width="1.85546875" style="1" customWidth="1"/>
    <col min="3336" max="3336" width="24.7109375" style="1" customWidth="1"/>
    <col min="3337" max="3337" width="7.28515625" style="1" customWidth="1"/>
    <col min="3338" max="3338" width="3.28515625" style="1" customWidth="1"/>
    <col min="3339" max="3339" width="6.140625" style="1" customWidth="1"/>
    <col min="3340" max="3340" width="1.85546875" style="1" customWidth="1"/>
    <col min="3341" max="3341" width="24.7109375" style="1" customWidth="1"/>
    <col min="3342" max="3342" width="7.28515625" style="1" customWidth="1"/>
    <col min="3343" max="3584" width="11.42578125" style="1"/>
    <col min="3585" max="3585" width="6" style="1" customWidth="1"/>
    <col min="3586" max="3586" width="1.85546875" style="1" customWidth="1"/>
    <col min="3587" max="3587" width="24.7109375" style="1" customWidth="1"/>
    <col min="3588" max="3588" width="7.28515625" style="1" customWidth="1"/>
    <col min="3589" max="3589" width="3.28515625" style="1" customWidth="1"/>
    <col min="3590" max="3590" width="6" style="1" customWidth="1"/>
    <col min="3591" max="3591" width="1.85546875" style="1" customWidth="1"/>
    <col min="3592" max="3592" width="24.7109375" style="1" customWidth="1"/>
    <col min="3593" max="3593" width="7.28515625" style="1" customWidth="1"/>
    <col min="3594" max="3594" width="3.28515625" style="1" customWidth="1"/>
    <col min="3595" max="3595" width="6.140625" style="1" customWidth="1"/>
    <col min="3596" max="3596" width="1.85546875" style="1" customWidth="1"/>
    <col min="3597" max="3597" width="24.7109375" style="1" customWidth="1"/>
    <col min="3598" max="3598" width="7.28515625" style="1" customWidth="1"/>
    <col min="3599" max="3840" width="11.42578125" style="1"/>
    <col min="3841" max="3841" width="6" style="1" customWidth="1"/>
    <col min="3842" max="3842" width="1.85546875" style="1" customWidth="1"/>
    <col min="3843" max="3843" width="24.7109375" style="1" customWidth="1"/>
    <col min="3844" max="3844" width="7.28515625" style="1" customWidth="1"/>
    <col min="3845" max="3845" width="3.28515625" style="1" customWidth="1"/>
    <col min="3846" max="3846" width="6" style="1" customWidth="1"/>
    <col min="3847" max="3847" width="1.85546875" style="1" customWidth="1"/>
    <col min="3848" max="3848" width="24.7109375" style="1" customWidth="1"/>
    <col min="3849" max="3849" width="7.28515625" style="1" customWidth="1"/>
    <col min="3850" max="3850" width="3.28515625" style="1" customWidth="1"/>
    <col min="3851" max="3851" width="6.140625" style="1" customWidth="1"/>
    <col min="3852" max="3852" width="1.85546875" style="1" customWidth="1"/>
    <col min="3853" max="3853" width="24.7109375" style="1" customWidth="1"/>
    <col min="3854" max="3854" width="7.28515625" style="1" customWidth="1"/>
    <col min="3855" max="4096" width="11.42578125" style="1"/>
    <col min="4097" max="4097" width="6" style="1" customWidth="1"/>
    <col min="4098" max="4098" width="1.85546875" style="1" customWidth="1"/>
    <col min="4099" max="4099" width="24.7109375" style="1" customWidth="1"/>
    <col min="4100" max="4100" width="7.28515625" style="1" customWidth="1"/>
    <col min="4101" max="4101" width="3.28515625" style="1" customWidth="1"/>
    <col min="4102" max="4102" width="6" style="1" customWidth="1"/>
    <col min="4103" max="4103" width="1.85546875" style="1" customWidth="1"/>
    <col min="4104" max="4104" width="24.7109375" style="1" customWidth="1"/>
    <col min="4105" max="4105" width="7.28515625" style="1" customWidth="1"/>
    <col min="4106" max="4106" width="3.28515625" style="1" customWidth="1"/>
    <col min="4107" max="4107" width="6.140625" style="1" customWidth="1"/>
    <col min="4108" max="4108" width="1.85546875" style="1" customWidth="1"/>
    <col min="4109" max="4109" width="24.7109375" style="1" customWidth="1"/>
    <col min="4110" max="4110" width="7.28515625" style="1" customWidth="1"/>
    <col min="4111" max="4352" width="11.42578125" style="1"/>
    <col min="4353" max="4353" width="6" style="1" customWidth="1"/>
    <col min="4354" max="4354" width="1.85546875" style="1" customWidth="1"/>
    <col min="4355" max="4355" width="24.7109375" style="1" customWidth="1"/>
    <col min="4356" max="4356" width="7.28515625" style="1" customWidth="1"/>
    <col min="4357" max="4357" width="3.28515625" style="1" customWidth="1"/>
    <col min="4358" max="4358" width="6" style="1" customWidth="1"/>
    <col min="4359" max="4359" width="1.85546875" style="1" customWidth="1"/>
    <col min="4360" max="4360" width="24.7109375" style="1" customWidth="1"/>
    <col min="4361" max="4361" width="7.28515625" style="1" customWidth="1"/>
    <col min="4362" max="4362" width="3.28515625" style="1" customWidth="1"/>
    <col min="4363" max="4363" width="6.140625" style="1" customWidth="1"/>
    <col min="4364" max="4364" width="1.85546875" style="1" customWidth="1"/>
    <col min="4365" max="4365" width="24.7109375" style="1" customWidth="1"/>
    <col min="4366" max="4366" width="7.28515625" style="1" customWidth="1"/>
    <col min="4367" max="4608" width="11.42578125" style="1"/>
    <col min="4609" max="4609" width="6" style="1" customWidth="1"/>
    <col min="4610" max="4610" width="1.85546875" style="1" customWidth="1"/>
    <col min="4611" max="4611" width="24.7109375" style="1" customWidth="1"/>
    <col min="4612" max="4612" width="7.28515625" style="1" customWidth="1"/>
    <col min="4613" max="4613" width="3.28515625" style="1" customWidth="1"/>
    <col min="4614" max="4614" width="6" style="1" customWidth="1"/>
    <col min="4615" max="4615" width="1.85546875" style="1" customWidth="1"/>
    <col min="4616" max="4616" width="24.7109375" style="1" customWidth="1"/>
    <col min="4617" max="4617" width="7.28515625" style="1" customWidth="1"/>
    <col min="4618" max="4618" width="3.28515625" style="1" customWidth="1"/>
    <col min="4619" max="4619" width="6.140625" style="1" customWidth="1"/>
    <col min="4620" max="4620" width="1.85546875" style="1" customWidth="1"/>
    <col min="4621" max="4621" width="24.7109375" style="1" customWidth="1"/>
    <col min="4622" max="4622" width="7.28515625" style="1" customWidth="1"/>
    <col min="4623" max="4864" width="11.42578125" style="1"/>
    <col min="4865" max="4865" width="6" style="1" customWidth="1"/>
    <col min="4866" max="4866" width="1.85546875" style="1" customWidth="1"/>
    <col min="4867" max="4867" width="24.7109375" style="1" customWidth="1"/>
    <col min="4868" max="4868" width="7.28515625" style="1" customWidth="1"/>
    <col min="4869" max="4869" width="3.28515625" style="1" customWidth="1"/>
    <col min="4870" max="4870" width="6" style="1" customWidth="1"/>
    <col min="4871" max="4871" width="1.85546875" style="1" customWidth="1"/>
    <col min="4872" max="4872" width="24.7109375" style="1" customWidth="1"/>
    <col min="4873" max="4873" width="7.28515625" style="1" customWidth="1"/>
    <col min="4874" max="4874" width="3.28515625" style="1" customWidth="1"/>
    <col min="4875" max="4875" width="6.140625" style="1" customWidth="1"/>
    <col min="4876" max="4876" width="1.85546875" style="1" customWidth="1"/>
    <col min="4877" max="4877" width="24.7109375" style="1" customWidth="1"/>
    <col min="4878" max="4878" width="7.28515625" style="1" customWidth="1"/>
    <col min="4879" max="5120" width="11.42578125" style="1"/>
    <col min="5121" max="5121" width="6" style="1" customWidth="1"/>
    <col min="5122" max="5122" width="1.85546875" style="1" customWidth="1"/>
    <col min="5123" max="5123" width="24.7109375" style="1" customWidth="1"/>
    <col min="5124" max="5124" width="7.28515625" style="1" customWidth="1"/>
    <col min="5125" max="5125" width="3.28515625" style="1" customWidth="1"/>
    <col min="5126" max="5126" width="6" style="1" customWidth="1"/>
    <col min="5127" max="5127" width="1.85546875" style="1" customWidth="1"/>
    <col min="5128" max="5128" width="24.7109375" style="1" customWidth="1"/>
    <col min="5129" max="5129" width="7.28515625" style="1" customWidth="1"/>
    <col min="5130" max="5130" width="3.28515625" style="1" customWidth="1"/>
    <col min="5131" max="5131" width="6.140625" style="1" customWidth="1"/>
    <col min="5132" max="5132" width="1.85546875" style="1" customWidth="1"/>
    <col min="5133" max="5133" width="24.7109375" style="1" customWidth="1"/>
    <col min="5134" max="5134" width="7.28515625" style="1" customWidth="1"/>
    <col min="5135" max="5376" width="11.42578125" style="1"/>
    <col min="5377" max="5377" width="6" style="1" customWidth="1"/>
    <col min="5378" max="5378" width="1.85546875" style="1" customWidth="1"/>
    <col min="5379" max="5379" width="24.7109375" style="1" customWidth="1"/>
    <col min="5380" max="5380" width="7.28515625" style="1" customWidth="1"/>
    <col min="5381" max="5381" width="3.28515625" style="1" customWidth="1"/>
    <col min="5382" max="5382" width="6" style="1" customWidth="1"/>
    <col min="5383" max="5383" width="1.85546875" style="1" customWidth="1"/>
    <col min="5384" max="5384" width="24.7109375" style="1" customWidth="1"/>
    <col min="5385" max="5385" width="7.28515625" style="1" customWidth="1"/>
    <col min="5386" max="5386" width="3.28515625" style="1" customWidth="1"/>
    <col min="5387" max="5387" width="6.140625" style="1" customWidth="1"/>
    <col min="5388" max="5388" width="1.85546875" style="1" customWidth="1"/>
    <col min="5389" max="5389" width="24.7109375" style="1" customWidth="1"/>
    <col min="5390" max="5390" width="7.28515625" style="1" customWidth="1"/>
    <col min="5391" max="5632" width="11.42578125" style="1"/>
    <col min="5633" max="5633" width="6" style="1" customWidth="1"/>
    <col min="5634" max="5634" width="1.85546875" style="1" customWidth="1"/>
    <col min="5635" max="5635" width="24.7109375" style="1" customWidth="1"/>
    <col min="5636" max="5636" width="7.28515625" style="1" customWidth="1"/>
    <col min="5637" max="5637" width="3.28515625" style="1" customWidth="1"/>
    <col min="5638" max="5638" width="6" style="1" customWidth="1"/>
    <col min="5639" max="5639" width="1.85546875" style="1" customWidth="1"/>
    <col min="5640" max="5640" width="24.7109375" style="1" customWidth="1"/>
    <col min="5641" max="5641" width="7.28515625" style="1" customWidth="1"/>
    <col min="5642" max="5642" width="3.28515625" style="1" customWidth="1"/>
    <col min="5643" max="5643" width="6.140625" style="1" customWidth="1"/>
    <col min="5644" max="5644" width="1.85546875" style="1" customWidth="1"/>
    <col min="5645" max="5645" width="24.7109375" style="1" customWidth="1"/>
    <col min="5646" max="5646" width="7.28515625" style="1" customWidth="1"/>
    <col min="5647" max="5888" width="11.42578125" style="1"/>
    <col min="5889" max="5889" width="6" style="1" customWidth="1"/>
    <col min="5890" max="5890" width="1.85546875" style="1" customWidth="1"/>
    <col min="5891" max="5891" width="24.7109375" style="1" customWidth="1"/>
    <col min="5892" max="5892" width="7.28515625" style="1" customWidth="1"/>
    <col min="5893" max="5893" width="3.28515625" style="1" customWidth="1"/>
    <col min="5894" max="5894" width="6" style="1" customWidth="1"/>
    <col min="5895" max="5895" width="1.85546875" style="1" customWidth="1"/>
    <col min="5896" max="5896" width="24.7109375" style="1" customWidth="1"/>
    <col min="5897" max="5897" width="7.28515625" style="1" customWidth="1"/>
    <col min="5898" max="5898" width="3.28515625" style="1" customWidth="1"/>
    <col min="5899" max="5899" width="6.140625" style="1" customWidth="1"/>
    <col min="5900" max="5900" width="1.85546875" style="1" customWidth="1"/>
    <col min="5901" max="5901" width="24.7109375" style="1" customWidth="1"/>
    <col min="5902" max="5902" width="7.28515625" style="1" customWidth="1"/>
    <col min="5903" max="6144" width="11.42578125" style="1"/>
    <col min="6145" max="6145" width="6" style="1" customWidth="1"/>
    <col min="6146" max="6146" width="1.85546875" style="1" customWidth="1"/>
    <col min="6147" max="6147" width="24.7109375" style="1" customWidth="1"/>
    <col min="6148" max="6148" width="7.28515625" style="1" customWidth="1"/>
    <col min="6149" max="6149" width="3.28515625" style="1" customWidth="1"/>
    <col min="6150" max="6150" width="6" style="1" customWidth="1"/>
    <col min="6151" max="6151" width="1.85546875" style="1" customWidth="1"/>
    <col min="6152" max="6152" width="24.7109375" style="1" customWidth="1"/>
    <col min="6153" max="6153" width="7.28515625" style="1" customWidth="1"/>
    <col min="6154" max="6154" width="3.28515625" style="1" customWidth="1"/>
    <col min="6155" max="6155" width="6.140625" style="1" customWidth="1"/>
    <col min="6156" max="6156" width="1.85546875" style="1" customWidth="1"/>
    <col min="6157" max="6157" width="24.7109375" style="1" customWidth="1"/>
    <col min="6158" max="6158" width="7.28515625" style="1" customWidth="1"/>
    <col min="6159" max="6400" width="11.42578125" style="1"/>
    <col min="6401" max="6401" width="6" style="1" customWidth="1"/>
    <col min="6402" max="6402" width="1.85546875" style="1" customWidth="1"/>
    <col min="6403" max="6403" width="24.7109375" style="1" customWidth="1"/>
    <col min="6404" max="6404" width="7.28515625" style="1" customWidth="1"/>
    <col min="6405" max="6405" width="3.28515625" style="1" customWidth="1"/>
    <col min="6406" max="6406" width="6" style="1" customWidth="1"/>
    <col min="6407" max="6407" width="1.85546875" style="1" customWidth="1"/>
    <col min="6408" max="6408" width="24.7109375" style="1" customWidth="1"/>
    <col min="6409" max="6409" width="7.28515625" style="1" customWidth="1"/>
    <col min="6410" max="6410" width="3.28515625" style="1" customWidth="1"/>
    <col min="6411" max="6411" width="6.140625" style="1" customWidth="1"/>
    <col min="6412" max="6412" width="1.85546875" style="1" customWidth="1"/>
    <col min="6413" max="6413" width="24.7109375" style="1" customWidth="1"/>
    <col min="6414" max="6414" width="7.28515625" style="1" customWidth="1"/>
    <col min="6415" max="6656" width="11.42578125" style="1"/>
    <col min="6657" max="6657" width="6" style="1" customWidth="1"/>
    <col min="6658" max="6658" width="1.85546875" style="1" customWidth="1"/>
    <col min="6659" max="6659" width="24.7109375" style="1" customWidth="1"/>
    <col min="6660" max="6660" width="7.28515625" style="1" customWidth="1"/>
    <col min="6661" max="6661" width="3.28515625" style="1" customWidth="1"/>
    <col min="6662" max="6662" width="6" style="1" customWidth="1"/>
    <col min="6663" max="6663" width="1.85546875" style="1" customWidth="1"/>
    <col min="6664" max="6664" width="24.7109375" style="1" customWidth="1"/>
    <col min="6665" max="6665" width="7.28515625" style="1" customWidth="1"/>
    <col min="6666" max="6666" width="3.28515625" style="1" customWidth="1"/>
    <col min="6667" max="6667" width="6.140625" style="1" customWidth="1"/>
    <col min="6668" max="6668" width="1.85546875" style="1" customWidth="1"/>
    <col min="6669" max="6669" width="24.7109375" style="1" customWidth="1"/>
    <col min="6670" max="6670" width="7.28515625" style="1" customWidth="1"/>
    <col min="6671" max="6912" width="11.42578125" style="1"/>
    <col min="6913" max="6913" width="6" style="1" customWidth="1"/>
    <col min="6914" max="6914" width="1.85546875" style="1" customWidth="1"/>
    <col min="6915" max="6915" width="24.7109375" style="1" customWidth="1"/>
    <col min="6916" max="6916" width="7.28515625" style="1" customWidth="1"/>
    <col min="6917" max="6917" width="3.28515625" style="1" customWidth="1"/>
    <col min="6918" max="6918" width="6" style="1" customWidth="1"/>
    <col min="6919" max="6919" width="1.85546875" style="1" customWidth="1"/>
    <col min="6920" max="6920" width="24.7109375" style="1" customWidth="1"/>
    <col min="6921" max="6921" width="7.28515625" style="1" customWidth="1"/>
    <col min="6922" max="6922" width="3.28515625" style="1" customWidth="1"/>
    <col min="6923" max="6923" width="6.140625" style="1" customWidth="1"/>
    <col min="6924" max="6924" width="1.85546875" style="1" customWidth="1"/>
    <col min="6925" max="6925" width="24.7109375" style="1" customWidth="1"/>
    <col min="6926" max="6926" width="7.28515625" style="1" customWidth="1"/>
    <col min="6927" max="7168" width="11.42578125" style="1"/>
    <col min="7169" max="7169" width="6" style="1" customWidth="1"/>
    <col min="7170" max="7170" width="1.85546875" style="1" customWidth="1"/>
    <col min="7171" max="7171" width="24.7109375" style="1" customWidth="1"/>
    <col min="7172" max="7172" width="7.28515625" style="1" customWidth="1"/>
    <col min="7173" max="7173" width="3.28515625" style="1" customWidth="1"/>
    <col min="7174" max="7174" width="6" style="1" customWidth="1"/>
    <col min="7175" max="7175" width="1.85546875" style="1" customWidth="1"/>
    <col min="7176" max="7176" width="24.7109375" style="1" customWidth="1"/>
    <col min="7177" max="7177" width="7.28515625" style="1" customWidth="1"/>
    <col min="7178" max="7178" width="3.28515625" style="1" customWidth="1"/>
    <col min="7179" max="7179" width="6.140625" style="1" customWidth="1"/>
    <col min="7180" max="7180" width="1.85546875" style="1" customWidth="1"/>
    <col min="7181" max="7181" width="24.7109375" style="1" customWidth="1"/>
    <col min="7182" max="7182" width="7.28515625" style="1" customWidth="1"/>
    <col min="7183" max="7424" width="11.42578125" style="1"/>
    <col min="7425" max="7425" width="6" style="1" customWidth="1"/>
    <col min="7426" max="7426" width="1.85546875" style="1" customWidth="1"/>
    <col min="7427" max="7427" width="24.7109375" style="1" customWidth="1"/>
    <col min="7428" max="7428" width="7.28515625" style="1" customWidth="1"/>
    <col min="7429" max="7429" width="3.28515625" style="1" customWidth="1"/>
    <col min="7430" max="7430" width="6" style="1" customWidth="1"/>
    <col min="7431" max="7431" width="1.85546875" style="1" customWidth="1"/>
    <col min="7432" max="7432" width="24.7109375" style="1" customWidth="1"/>
    <col min="7433" max="7433" width="7.28515625" style="1" customWidth="1"/>
    <col min="7434" max="7434" width="3.28515625" style="1" customWidth="1"/>
    <col min="7435" max="7435" width="6.140625" style="1" customWidth="1"/>
    <col min="7436" max="7436" width="1.85546875" style="1" customWidth="1"/>
    <col min="7437" max="7437" width="24.7109375" style="1" customWidth="1"/>
    <col min="7438" max="7438" width="7.28515625" style="1" customWidth="1"/>
    <col min="7439" max="7680" width="11.42578125" style="1"/>
    <col min="7681" max="7681" width="6" style="1" customWidth="1"/>
    <col min="7682" max="7682" width="1.85546875" style="1" customWidth="1"/>
    <col min="7683" max="7683" width="24.7109375" style="1" customWidth="1"/>
    <col min="7684" max="7684" width="7.28515625" style="1" customWidth="1"/>
    <col min="7685" max="7685" width="3.28515625" style="1" customWidth="1"/>
    <col min="7686" max="7686" width="6" style="1" customWidth="1"/>
    <col min="7687" max="7687" width="1.85546875" style="1" customWidth="1"/>
    <col min="7688" max="7688" width="24.7109375" style="1" customWidth="1"/>
    <col min="7689" max="7689" width="7.28515625" style="1" customWidth="1"/>
    <col min="7690" max="7690" width="3.28515625" style="1" customWidth="1"/>
    <col min="7691" max="7691" width="6.140625" style="1" customWidth="1"/>
    <col min="7692" max="7692" width="1.85546875" style="1" customWidth="1"/>
    <col min="7693" max="7693" width="24.7109375" style="1" customWidth="1"/>
    <col min="7694" max="7694" width="7.28515625" style="1" customWidth="1"/>
    <col min="7695" max="7936" width="11.42578125" style="1"/>
    <col min="7937" max="7937" width="6" style="1" customWidth="1"/>
    <col min="7938" max="7938" width="1.85546875" style="1" customWidth="1"/>
    <col min="7939" max="7939" width="24.7109375" style="1" customWidth="1"/>
    <col min="7940" max="7940" width="7.28515625" style="1" customWidth="1"/>
    <col min="7941" max="7941" width="3.28515625" style="1" customWidth="1"/>
    <col min="7942" max="7942" width="6" style="1" customWidth="1"/>
    <col min="7943" max="7943" width="1.85546875" style="1" customWidth="1"/>
    <col min="7944" max="7944" width="24.7109375" style="1" customWidth="1"/>
    <col min="7945" max="7945" width="7.28515625" style="1" customWidth="1"/>
    <col min="7946" max="7946" width="3.28515625" style="1" customWidth="1"/>
    <col min="7947" max="7947" width="6.140625" style="1" customWidth="1"/>
    <col min="7948" max="7948" width="1.85546875" style="1" customWidth="1"/>
    <col min="7949" max="7949" width="24.7109375" style="1" customWidth="1"/>
    <col min="7950" max="7950" width="7.28515625" style="1" customWidth="1"/>
    <col min="7951" max="8192" width="11.42578125" style="1"/>
    <col min="8193" max="8193" width="6" style="1" customWidth="1"/>
    <col min="8194" max="8194" width="1.85546875" style="1" customWidth="1"/>
    <col min="8195" max="8195" width="24.7109375" style="1" customWidth="1"/>
    <col min="8196" max="8196" width="7.28515625" style="1" customWidth="1"/>
    <col min="8197" max="8197" width="3.28515625" style="1" customWidth="1"/>
    <col min="8198" max="8198" width="6" style="1" customWidth="1"/>
    <col min="8199" max="8199" width="1.85546875" style="1" customWidth="1"/>
    <col min="8200" max="8200" width="24.7109375" style="1" customWidth="1"/>
    <col min="8201" max="8201" width="7.28515625" style="1" customWidth="1"/>
    <col min="8202" max="8202" width="3.28515625" style="1" customWidth="1"/>
    <col min="8203" max="8203" width="6.140625" style="1" customWidth="1"/>
    <col min="8204" max="8204" width="1.85546875" style="1" customWidth="1"/>
    <col min="8205" max="8205" width="24.7109375" style="1" customWidth="1"/>
    <col min="8206" max="8206" width="7.28515625" style="1" customWidth="1"/>
    <col min="8207" max="8448" width="11.42578125" style="1"/>
    <col min="8449" max="8449" width="6" style="1" customWidth="1"/>
    <col min="8450" max="8450" width="1.85546875" style="1" customWidth="1"/>
    <col min="8451" max="8451" width="24.7109375" style="1" customWidth="1"/>
    <col min="8452" max="8452" width="7.28515625" style="1" customWidth="1"/>
    <col min="8453" max="8453" width="3.28515625" style="1" customWidth="1"/>
    <col min="8454" max="8454" width="6" style="1" customWidth="1"/>
    <col min="8455" max="8455" width="1.85546875" style="1" customWidth="1"/>
    <col min="8456" max="8456" width="24.7109375" style="1" customWidth="1"/>
    <col min="8457" max="8457" width="7.28515625" style="1" customWidth="1"/>
    <col min="8458" max="8458" width="3.28515625" style="1" customWidth="1"/>
    <col min="8459" max="8459" width="6.140625" style="1" customWidth="1"/>
    <col min="8460" max="8460" width="1.85546875" style="1" customWidth="1"/>
    <col min="8461" max="8461" width="24.7109375" style="1" customWidth="1"/>
    <col min="8462" max="8462" width="7.28515625" style="1" customWidth="1"/>
    <col min="8463" max="8704" width="11.42578125" style="1"/>
    <col min="8705" max="8705" width="6" style="1" customWidth="1"/>
    <col min="8706" max="8706" width="1.85546875" style="1" customWidth="1"/>
    <col min="8707" max="8707" width="24.7109375" style="1" customWidth="1"/>
    <col min="8708" max="8708" width="7.28515625" style="1" customWidth="1"/>
    <col min="8709" max="8709" width="3.28515625" style="1" customWidth="1"/>
    <col min="8710" max="8710" width="6" style="1" customWidth="1"/>
    <col min="8711" max="8711" width="1.85546875" style="1" customWidth="1"/>
    <col min="8712" max="8712" width="24.7109375" style="1" customWidth="1"/>
    <col min="8713" max="8713" width="7.28515625" style="1" customWidth="1"/>
    <col min="8714" max="8714" width="3.28515625" style="1" customWidth="1"/>
    <col min="8715" max="8715" width="6.140625" style="1" customWidth="1"/>
    <col min="8716" max="8716" width="1.85546875" style="1" customWidth="1"/>
    <col min="8717" max="8717" width="24.7109375" style="1" customWidth="1"/>
    <col min="8718" max="8718" width="7.28515625" style="1" customWidth="1"/>
    <col min="8719" max="8960" width="11.42578125" style="1"/>
    <col min="8961" max="8961" width="6" style="1" customWidth="1"/>
    <col min="8962" max="8962" width="1.85546875" style="1" customWidth="1"/>
    <col min="8963" max="8963" width="24.7109375" style="1" customWidth="1"/>
    <col min="8964" max="8964" width="7.28515625" style="1" customWidth="1"/>
    <col min="8965" max="8965" width="3.28515625" style="1" customWidth="1"/>
    <col min="8966" max="8966" width="6" style="1" customWidth="1"/>
    <col min="8967" max="8967" width="1.85546875" style="1" customWidth="1"/>
    <col min="8968" max="8968" width="24.7109375" style="1" customWidth="1"/>
    <col min="8969" max="8969" width="7.28515625" style="1" customWidth="1"/>
    <col min="8970" max="8970" width="3.28515625" style="1" customWidth="1"/>
    <col min="8971" max="8971" width="6.140625" style="1" customWidth="1"/>
    <col min="8972" max="8972" width="1.85546875" style="1" customWidth="1"/>
    <col min="8973" max="8973" width="24.7109375" style="1" customWidth="1"/>
    <col min="8974" max="8974" width="7.28515625" style="1" customWidth="1"/>
    <col min="8975" max="9216" width="11.42578125" style="1"/>
    <col min="9217" max="9217" width="6" style="1" customWidth="1"/>
    <col min="9218" max="9218" width="1.85546875" style="1" customWidth="1"/>
    <col min="9219" max="9219" width="24.7109375" style="1" customWidth="1"/>
    <col min="9220" max="9220" width="7.28515625" style="1" customWidth="1"/>
    <col min="9221" max="9221" width="3.28515625" style="1" customWidth="1"/>
    <col min="9222" max="9222" width="6" style="1" customWidth="1"/>
    <col min="9223" max="9223" width="1.85546875" style="1" customWidth="1"/>
    <col min="9224" max="9224" width="24.7109375" style="1" customWidth="1"/>
    <col min="9225" max="9225" width="7.28515625" style="1" customWidth="1"/>
    <col min="9226" max="9226" width="3.28515625" style="1" customWidth="1"/>
    <col min="9227" max="9227" width="6.140625" style="1" customWidth="1"/>
    <col min="9228" max="9228" width="1.85546875" style="1" customWidth="1"/>
    <col min="9229" max="9229" width="24.7109375" style="1" customWidth="1"/>
    <col min="9230" max="9230" width="7.28515625" style="1" customWidth="1"/>
    <col min="9231" max="9472" width="11.42578125" style="1"/>
    <col min="9473" max="9473" width="6" style="1" customWidth="1"/>
    <col min="9474" max="9474" width="1.85546875" style="1" customWidth="1"/>
    <col min="9475" max="9475" width="24.7109375" style="1" customWidth="1"/>
    <col min="9476" max="9476" width="7.28515625" style="1" customWidth="1"/>
    <col min="9477" max="9477" width="3.28515625" style="1" customWidth="1"/>
    <col min="9478" max="9478" width="6" style="1" customWidth="1"/>
    <col min="9479" max="9479" width="1.85546875" style="1" customWidth="1"/>
    <col min="9480" max="9480" width="24.7109375" style="1" customWidth="1"/>
    <col min="9481" max="9481" width="7.28515625" style="1" customWidth="1"/>
    <col min="9482" max="9482" width="3.28515625" style="1" customWidth="1"/>
    <col min="9483" max="9483" width="6.140625" style="1" customWidth="1"/>
    <col min="9484" max="9484" width="1.85546875" style="1" customWidth="1"/>
    <col min="9485" max="9485" width="24.7109375" style="1" customWidth="1"/>
    <col min="9486" max="9486" width="7.28515625" style="1" customWidth="1"/>
    <col min="9487" max="9728" width="11.42578125" style="1"/>
    <col min="9729" max="9729" width="6" style="1" customWidth="1"/>
    <col min="9730" max="9730" width="1.85546875" style="1" customWidth="1"/>
    <col min="9731" max="9731" width="24.7109375" style="1" customWidth="1"/>
    <col min="9732" max="9732" width="7.28515625" style="1" customWidth="1"/>
    <col min="9733" max="9733" width="3.28515625" style="1" customWidth="1"/>
    <col min="9734" max="9734" width="6" style="1" customWidth="1"/>
    <col min="9735" max="9735" width="1.85546875" style="1" customWidth="1"/>
    <col min="9736" max="9736" width="24.7109375" style="1" customWidth="1"/>
    <col min="9737" max="9737" width="7.28515625" style="1" customWidth="1"/>
    <col min="9738" max="9738" width="3.28515625" style="1" customWidth="1"/>
    <col min="9739" max="9739" width="6.140625" style="1" customWidth="1"/>
    <col min="9740" max="9740" width="1.85546875" style="1" customWidth="1"/>
    <col min="9741" max="9741" width="24.7109375" style="1" customWidth="1"/>
    <col min="9742" max="9742" width="7.28515625" style="1" customWidth="1"/>
    <col min="9743" max="9984" width="11.42578125" style="1"/>
    <col min="9985" max="9985" width="6" style="1" customWidth="1"/>
    <col min="9986" max="9986" width="1.85546875" style="1" customWidth="1"/>
    <col min="9987" max="9987" width="24.7109375" style="1" customWidth="1"/>
    <col min="9988" max="9988" width="7.28515625" style="1" customWidth="1"/>
    <col min="9989" max="9989" width="3.28515625" style="1" customWidth="1"/>
    <col min="9990" max="9990" width="6" style="1" customWidth="1"/>
    <col min="9991" max="9991" width="1.85546875" style="1" customWidth="1"/>
    <col min="9992" max="9992" width="24.7109375" style="1" customWidth="1"/>
    <col min="9993" max="9993" width="7.28515625" style="1" customWidth="1"/>
    <col min="9994" max="9994" width="3.28515625" style="1" customWidth="1"/>
    <col min="9995" max="9995" width="6.140625" style="1" customWidth="1"/>
    <col min="9996" max="9996" width="1.85546875" style="1" customWidth="1"/>
    <col min="9997" max="9997" width="24.7109375" style="1" customWidth="1"/>
    <col min="9998" max="9998" width="7.28515625" style="1" customWidth="1"/>
    <col min="9999" max="10240" width="11.42578125" style="1"/>
    <col min="10241" max="10241" width="6" style="1" customWidth="1"/>
    <col min="10242" max="10242" width="1.85546875" style="1" customWidth="1"/>
    <col min="10243" max="10243" width="24.7109375" style="1" customWidth="1"/>
    <col min="10244" max="10244" width="7.28515625" style="1" customWidth="1"/>
    <col min="10245" max="10245" width="3.28515625" style="1" customWidth="1"/>
    <col min="10246" max="10246" width="6" style="1" customWidth="1"/>
    <col min="10247" max="10247" width="1.85546875" style="1" customWidth="1"/>
    <col min="10248" max="10248" width="24.7109375" style="1" customWidth="1"/>
    <col min="10249" max="10249" width="7.28515625" style="1" customWidth="1"/>
    <col min="10250" max="10250" width="3.28515625" style="1" customWidth="1"/>
    <col min="10251" max="10251" width="6.140625" style="1" customWidth="1"/>
    <col min="10252" max="10252" width="1.85546875" style="1" customWidth="1"/>
    <col min="10253" max="10253" width="24.7109375" style="1" customWidth="1"/>
    <col min="10254" max="10254" width="7.28515625" style="1" customWidth="1"/>
    <col min="10255" max="10496" width="11.42578125" style="1"/>
    <col min="10497" max="10497" width="6" style="1" customWidth="1"/>
    <col min="10498" max="10498" width="1.85546875" style="1" customWidth="1"/>
    <col min="10499" max="10499" width="24.7109375" style="1" customWidth="1"/>
    <col min="10500" max="10500" width="7.28515625" style="1" customWidth="1"/>
    <col min="10501" max="10501" width="3.28515625" style="1" customWidth="1"/>
    <col min="10502" max="10502" width="6" style="1" customWidth="1"/>
    <col min="10503" max="10503" width="1.85546875" style="1" customWidth="1"/>
    <col min="10504" max="10504" width="24.7109375" style="1" customWidth="1"/>
    <col min="10505" max="10505" width="7.28515625" style="1" customWidth="1"/>
    <col min="10506" max="10506" width="3.28515625" style="1" customWidth="1"/>
    <col min="10507" max="10507" width="6.140625" style="1" customWidth="1"/>
    <col min="10508" max="10508" width="1.85546875" style="1" customWidth="1"/>
    <col min="10509" max="10509" width="24.7109375" style="1" customWidth="1"/>
    <col min="10510" max="10510" width="7.28515625" style="1" customWidth="1"/>
    <col min="10511" max="10752" width="11.42578125" style="1"/>
    <col min="10753" max="10753" width="6" style="1" customWidth="1"/>
    <col min="10754" max="10754" width="1.85546875" style="1" customWidth="1"/>
    <col min="10755" max="10755" width="24.7109375" style="1" customWidth="1"/>
    <col min="10756" max="10756" width="7.28515625" style="1" customWidth="1"/>
    <col min="10757" max="10757" width="3.28515625" style="1" customWidth="1"/>
    <col min="10758" max="10758" width="6" style="1" customWidth="1"/>
    <col min="10759" max="10759" width="1.85546875" style="1" customWidth="1"/>
    <col min="10760" max="10760" width="24.7109375" style="1" customWidth="1"/>
    <col min="10761" max="10761" width="7.28515625" style="1" customWidth="1"/>
    <col min="10762" max="10762" width="3.28515625" style="1" customWidth="1"/>
    <col min="10763" max="10763" width="6.140625" style="1" customWidth="1"/>
    <col min="10764" max="10764" width="1.85546875" style="1" customWidth="1"/>
    <col min="10765" max="10765" width="24.7109375" style="1" customWidth="1"/>
    <col min="10766" max="10766" width="7.28515625" style="1" customWidth="1"/>
    <col min="10767" max="11008" width="11.42578125" style="1"/>
    <col min="11009" max="11009" width="6" style="1" customWidth="1"/>
    <col min="11010" max="11010" width="1.85546875" style="1" customWidth="1"/>
    <col min="11011" max="11011" width="24.7109375" style="1" customWidth="1"/>
    <col min="11012" max="11012" width="7.28515625" style="1" customWidth="1"/>
    <col min="11013" max="11013" width="3.28515625" style="1" customWidth="1"/>
    <col min="11014" max="11014" width="6" style="1" customWidth="1"/>
    <col min="11015" max="11015" width="1.85546875" style="1" customWidth="1"/>
    <col min="11016" max="11016" width="24.7109375" style="1" customWidth="1"/>
    <col min="11017" max="11017" width="7.28515625" style="1" customWidth="1"/>
    <col min="11018" max="11018" width="3.28515625" style="1" customWidth="1"/>
    <col min="11019" max="11019" width="6.140625" style="1" customWidth="1"/>
    <col min="11020" max="11020" width="1.85546875" style="1" customWidth="1"/>
    <col min="11021" max="11021" width="24.7109375" style="1" customWidth="1"/>
    <col min="11022" max="11022" width="7.28515625" style="1" customWidth="1"/>
    <col min="11023" max="11264" width="11.42578125" style="1"/>
    <col min="11265" max="11265" width="6" style="1" customWidth="1"/>
    <col min="11266" max="11266" width="1.85546875" style="1" customWidth="1"/>
    <col min="11267" max="11267" width="24.7109375" style="1" customWidth="1"/>
    <col min="11268" max="11268" width="7.28515625" style="1" customWidth="1"/>
    <col min="11269" max="11269" width="3.28515625" style="1" customWidth="1"/>
    <col min="11270" max="11270" width="6" style="1" customWidth="1"/>
    <col min="11271" max="11271" width="1.85546875" style="1" customWidth="1"/>
    <col min="11272" max="11272" width="24.7109375" style="1" customWidth="1"/>
    <col min="11273" max="11273" width="7.28515625" style="1" customWidth="1"/>
    <col min="11274" max="11274" width="3.28515625" style="1" customWidth="1"/>
    <col min="11275" max="11275" width="6.140625" style="1" customWidth="1"/>
    <col min="11276" max="11276" width="1.85546875" style="1" customWidth="1"/>
    <col min="11277" max="11277" width="24.7109375" style="1" customWidth="1"/>
    <col min="11278" max="11278" width="7.28515625" style="1" customWidth="1"/>
    <col min="11279" max="11520" width="11.42578125" style="1"/>
    <col min="11521" max="11521" width="6" style="1" customWidth="1"/>
    <col min="11522" max="11522" width="1.85546875" style="1" customWidth="1"/>
    <col min="11523" max="11523" width="24.7109375" style="1" customWidth="1"/>
    <col min="11524" max="11524" width="7.28515625" style="1" customWidth="1"/>
    <col min="11525" max="11525" width="3.28515625" style="1" customWidth="1"/>
    <col min="11526" max="11526" width="6" style="1" customWidth="1"/>
    <col min="11527" max="11527" width="1.85546875" style="1" customWidth="1"/>
    <col min="11528" max="11528" width="24.7109375" style="1" customWidth="1"/>
    <col min="11529" max="11529" width="7.28515625" style="1" customWidth="1"/>
    <col min="11530" max="11530" width="3.28515625" style="1" customWidth="1"/>
    <col min="11531" max="11531" width="6.140625" style="1" customWidth="1"/>
    <col min="11532" max="11532" width="1.85546875" style="1" customWidth="1"/>
    <col min="11533" max="11533" width="24.7109375" style="1" customWidth="1"/>
    <col min="11534" max="11534" width="7.28515625" style="1" customWidth="1"/>
    <col min="11535" max="11776" width="11.42578125" style="1"/>
    <col min="11777" max="11777" width="6" style="1" customWidth="1"/>
    <col min="11778" max="11778" width="1.85546875" style="1" customWidth="1"/>
    <col min="11779" max="11779" width="24.7109375" style="1" customWidth="1"/>
    <col min="11780" max="11780" width="7.28515625" style="1" customWidth="1"/>
    <col min="11781" max="11781" width="3.28515625" style="1" customWidth="1"/>
    <col min="11782" max="11782" width="6" style="1" customWidth="1"/>
    <col min="11783" max="11783" width="1.85546875" style="1" customWidth="1"/>
    <col min="11784" max="11784" width="24.7109375" style="1" customWidth="1"/>
    <col min="11785" max="11785" width="7.28515625" style="1" customWidth="1"/>
    <col min="11786" max="11786" width="3.28515625" style="1" customWidth="1"/>
    <col min="11787" max="11787" width="6.140625" style="1" customWidth="1"/>
    <col min="11788" max="11788" width="1.85546875" style="1" customWidth="1"/>
    <col min="11789" max="11789" width="24.7109375" style="1" customWidth="1"/>
    <col min="11790" max="11790" width="7.28515625" style="1" customWidth="1"/>
    <col min="11791" max="12032" width="11.42578125" style="1"/>
    <col min="12033" max="12033" width="6" style="1" customWidth="1"/>
    <col min="12034" max="12034" width="1.85546875" style="1" customWidth="1"/>
    <col min="12035" max="12035" width="24.7109375" style="1" customWidth="1"/>
    <col min="12036" max="12036" width="7.28515625" style="1" customWidth="1"/>
    <col min="12037" max="12037" width="3.28515625" style="1" customWidth="1"/>
    <col min="12038" max="12038" width="6" style="1" customWidth="1"/>
    <col min="12039" max="12039" width="1.85546875" style="1" customWidth="1"/>
    <col min="12040" max="12040" width="24.7109375" style="1" customWidth="1"/>
    <col min="12041" max="12041" width="7.28515625" style="1" customWidth="1"/>
    <col min="12042" max="12042" width="3.28515625" style="1" customWidth="1"/>
    <col min="12043" max="12043" width="6.140625" style="1" customWidth="1"/>
    <col min="12044" max="12044" width="1.85546875" style="1" customWidth="1"/>
    <col min="12045" max="12045" width="24.7109375" style="1" customWidth="1"/>
    <col min="12046" max="12046" width="7.28515625" style="1" customWidth="1"/>
    <col min="12047" max="12288" width="11.42578125" style="1"/>
    <col min="12289" max="12289" width="6" style="1" customWidth="1"/>
    <col min="12290" max="12290" width="1.85546875" style="1" customWidth="1"/>
    <col min="12291" max="12291" width="24.7109375" style="1" customWidth="1"/>
    <col min="12292" max="12292" width="7.28515625" style="1" customWidth="1"/>
    <col min="12293" max="12293" width="3.28515625" style="1" customWidth="1"/>
    <col min="12294" max="12294" width="6" style="1" customWidth="1"/>
    <col min="12295" max="12295" width="1.85546875" style="1" customWidth="1"/>
    <col min="12296" max="12296" width="24.7109375" style="1" customWidth="1"/>
    <col min="12297" max="12297" width="7.28515625" style="1" customWidth="1"/>
    <col min="12298" max="12298" width="3.28515625" style="1" customWidth="1"/>
    <col min="12299" max="12299" width="6.140625" style="1" customWidth="1"/>
    <col min="12300" max="12300" width="1.85546875" style="1" customWidth="1"/>
    <col min="12301" max="12301" width="24.7109375" style="1" customWidth="1"/>
    <col min="12302" max="12302" width="7.28515625" style="1" customWidth="1"/>
    <col min="12303" max="12544" width="11.42578125" style="1"/>
    <col min="12545" max="12545" width="6" style="1" customWidth="1"/>
    <col min="12546" max="12546" width="1.85546875" style="1" customWidth="1"/>
    <col min="12547" max="12547" width="24.7109375" style="1" customWidth="1"/>
    <col min="12548" max="12548" width="7.28515625" style="1" customWidth="1"/>
    <col min="12549" max="12549" width="3.28515625" style="1" customWidth="1"/>
    <col min="12550" max="12550" width="6" style="1" customWidth="1"/>
    <col min="12551" max="12551" width="1.85546875" style="1" customWidth="1"/>
    <col min="12552" max="12552" width="24.7109375" style="1" customWidth="1"/>
    <col min="12553" max="12553" width="7.28515625" style="1" customWidth="1"/>
    <col min="12554" max="12554" width="3.28515625" style="1" customWidth="1"/>
    <col min="12555" max="12555" width="6.140625" style="1" customWidth="1"/>
    <col min="12556" max="12556" width="1.85546875" style="1" customWidth="1"/>
    <col min="12557" max="12557" width="24.7109375" style="1" customWidth="1"/>
    <col min="12558" max="12558" width="7.28515625" style="1" customWidth="1"/>
    <col min="12559" max="12800" width="11.42578125" style="1"/>
    <col min="12801" max="12801" width="6" style="1" customWidth="1"/>
    <col min="12802" max="12802" width="1.85546875" style="1" customWidth="1"/>
    <col min="12803" max="12803" width="24.7109375" style="1" customWidth="1"/>
    <col min="12804" max="12804" width="7.28515625" style="1" customWidth="1"/>
    <col min="12805" max="12805" width="3.28515625" style="1" customWidth="1"/>
    <col min="12806" max="12806" width="6" style="1" customWidth="1"/>
    <col min="12807" max="12807" width="1.85546875" style="1" customWidth="1"/>
    <col min="12808" max="12808" width="24.7109375" style="1" customWidth="1"/>
    <col min="12809" max="12809" width="7.28515625" style="1" customWidth="1"/>
    <col min="12810" max="12810" width="3.28515625" style="1" customWidth="1"/>
    <col min="12811" max="12811" width="6.140625" style="1" customWidth="1"/>
    <col min="12812" max="12812" width="1.85546875" style="1" customWidth="1"/>
    <col min="12813" max="12813" width="24.7109375" style="1" customWidth="1"/>
    <col min="12814" max="12814" width="7.28515625" style="1" customWidth="1"/>
    <col min="12815" max="13056" width="11.42578125" style="1"/>
    <col min="13057" max="13057" width="6" style="1" customWidth="1"/>
    <col min="13058" max="13058" width="1.85546875" style="1" customWidth="1"/>
    <col min="13059" max="13059" width="24.7109375" style="1" customWidth="1"/>
    <col min="13060" max="13060" width="7.28515625" style="1" customWidth="1"/>
    <col min="13061" max="13061" width="3.28515625" style="1" customWidth="1"/>
    <col min="13062" max="13062" width="6" style="1" customWidth="1"/>
    <col min="13063" max="13063" width="1.85546875" style="1" customWidth="1"/>
    <col min="13064" max="13064" width="24.7109375" style="1" customWidth="1"/>
    <col min="13065" max="13065" width="7.28515625" style="1" customWidth="1"/>
    <col min="13066" max="13066" width="3.28515625" style="1" customWidth="1"/>
    <col min="13067" max="13067" width="6.140625" style="1" customWidth="1"/>
    <col min="13068" max="13068" width="1.85546875" style="1" customWidth="1"/>
    <col min="13069" max="13069" width="24.7109375" style="1" customWidth="1"/>
    <col min="13070" max="13070" width="7.28515625" style="1" customWidth="1"/>
    <col min="13071" max="13312" width="11.42578125" style="1"/>
    <col min="13313" max="13313" width="6" style="1" customWidth="1"/>
    <col min="13314" max="13314" width="1.85546875" style="1" customWidth="1"/>
    <col min="13315" max="13315" width="24.7109375" style="1" customWidth="1"/>
    <col min="13316" max="13316" width="7.28515625" style="1" customWidth="1"/>
    <col min="13317" max="13317" width="3.28515625" style="1" customWidth="1"/>
    <col min="13318" max="13318" width="6" style="1" customWidth="1"/>
    <col min="13319" max="13319" width="1.85546875" style="1" customWidth="1"/>
    <col min="13320" max="13320" width="24.7109375" style="1" customWidth="1"/>
    <col min="13321" max="13321" width="7.28515625" style="1" customWidth="1"/>
    <col min="13322" max="13322" width="3.28515625" style="1" customWidth="1"/>
    <col min="13323" max="13323" width="6.140625" style="1" customWidth="1"/>
    <col min="13324" max="13324" width="1.85546875" style="1" customWidth="1"/>
    <col min="13325" max="13325" width="24.7109375" style="1" customWidth="1"/>
    <col min="13326" max="13326" width="7.28515625" style="1" customWidth="1"/>
    <col min="13327" max="13568" width="11.42578125" style="1"/>
    <col min="13569" max="13569" width="6" style="1" customWidth="1"/>
    <col min="13570" max="13570" width="1.85546875" style="1" customWidth="1"/>
    <col min="13571" max="13571" width="24.7109375" style="1" customWidth="1"/>
    <col min="13572" max="13572" width="7.28515625" style="1" customWidth="1"/>
    <col min="13573" max="13573" width="3.28515625" style="1" customWidth="1"/>
    <col min="13574" max="13574" width="6" style="1" customWidth="1"/>
    <col min="13575" max="13575" width="1.85546875" style="1" customWidth="1"/>
    <col min="13576" max="13576" width="24.7109375" style="1" customWidth="1"/>
    <col min="13577" max="13577" width="7.28515625" style="1" customWidth="1"/>
    <col min="13578" max="13578" width="3.28515625" style="1" customWidth="1"/>
    <col min="13579" max="13579" width="6.140625" style="1" customWidth="1"/>
    <col min="13580" max="13580" width="1.85546875" style="1" customWidth="1"/>
    <col min="13581" max="13581" width="24.7109375" style="1" customWidth="1"/>
    <col min="13582" max="13582" width="7.28515625" style="1" customWidth="1"/>
    <col min="13583" max="13824" width="11.42578125" style="1"/>
    <col min="13825" max="13825" width="6" style="1" customWidth="1"/>
    <col min="13826" max="13826" width="1.85546875" style="1" customWidth="1"/>
    <col min="13827" max="13827" width="24.7109375" style="1" customWidth="1"/>
    <col min="13828" max="13828" width="7.28515625" style="1" customWidth="1"/>
    <col min="13829" max="13829" width="3.28515625" style="1" customWidth="1"/>
    <col min="13830" max="13830" width="6" style="1" customWidth="1"/>
    <col min="13831" max="13831" width="1.85546875" style="1" customWidth="1"/>
    <col min="13832" max="13832" width="24.7109375" style="1" customWidth="1"/>
    <col min="13833" max="13833" width="7.28515625" style="1" customWidth="1"/>
    <col min="13834" max="13834" width="3.28515625" style="1" customWidth="1"/>
    <col min="13835" max="13835" width="6.140625" style="1" customWidth="1"/>
    <col min="13836" max="13836" width="1.85546875" style="1" customWidth="1"/>
    <col min="13837" max="13837" width="24.7109375" style="1" customWidth="1"/>
    <col min="13838" max="13838" width="7.28515625" style="1" customWidth="1"/>
    <col min="13839" max="14080" width="11.42578125" style="1"/>
    <col min="14081" max="14081" width="6" style="1" customWidth="1"/>
    <col min="14082" max="14082" width="1.85546875" style="1" customWidth="1"/>
    <col min="14083" max="14083" width="24.7109375" style="1" customWidth="1"/>
    <col min="14084" max="14084" width="7.28515625" style="1" customWidth="1"/>
    <col min="14085" max="14085" width="3.28515625" style="1" customWidth="1"/>
    <col min="14086" max="14086" width="6" style="1" customWidth="1"/>
    <col min="14087" max="14087" width="1.85546875" style="1" customWidth="1"/>
    <col min="14088" max="14088" width="24.7109375" style="1" customWidth="1"/>
    <col min="14089" max="14089" width="7.28515625" style="1" customWidth="1"/>
    <col min="14090" max="14090" width="3.28515625" style="1" customWidth="1"/>
    <col min="14091" max="14091" width="6.140625" style="1" customWidth="1"/>
    <col min="14092" max="14092" width="1.85546875" style="1" customWidth="1"/>
    <col min="14093" max="14093" width="24.7109375" style="1" customWidth="1"/>
    <col min="14094" max="14094" width="7.28515625" style="1" customWidth="1"/>
    <col min="14095" max="14336" width="11.42578125" style="1"/>
    <col min="14337" max="14337" width="6" style="1" customWidth="1"/>
    <col min="14338" max="14338" width="1.85546875" style="1" customWidth="1"/>
    <col min="14339" max="14339" width="24.7109375" style="1" customWidth="1"/>
    <col min="14340" max="14340" width="7.28515625" style="1" customWidth="1"/>
    <col min="14341" max="14341" width="3.28515625" style="1" customWidth="1"/>
    <col min="14342" max="14342" width="6" style="1" customWidth="1"/>
    <col min="14343" max="14343" width="1.85546875" style="1" customWidth="1"/>
    <col min="14344" max="14344" width="24.7109375" style="1" customWidth="1"/>
    <col min="14345" max="14345" width="7.28515625" style="1" customWidth="1"/>
    <col min="14346" max="14346" width="3.28515625" style="1" customWidth="1"/>
    <col min="14347" max="14347" width="6.140625" style="1" customWidth="1"/>
    <col min="14348" max="14348" width="1.85546875" style="1" customWidth="1"/>
    <col min="14349" max="14349" width="24.7109375" style="1" customWidth="1"/>
    <col min="14350" max="14350" width="7.28515625" style="1" customWidth="1"/>
    <col min="14351" max="14592" width="11.42578125" style="1"/>
    <col min="14593" max="14593" width="6" style="1" customWidth="1"/>
    <col min="14594" max="14594" width="1.85546875" style="1" customWidth="1"/>
    <col min="14595" max="14595" width="24.7109375" style="1" customWidth="1"/>
    <col min="14596" max="14596" width="7.28515625" style="1" customWidth="1"/>
    <col min="14597" max="14597" width="3.28515625" style="1" customWidth="1"/>
    <col min="14598" max="14598" width="6" style="1" customWidth="1"/>
    <col min="14599" max="14599" width="1.85546875" style="1" customWidth="1"/>
    <col min="14600" max="14600" width="24.7109375" style="1" customWidth="1"/>
    <col min="14601" max="14601" width="7.28515625" style="1" customWidth="1"/>
    <col min="14602" max="14602" width="3.28515625" style="1" customWidth="1"/>
    <col min="14603" max="14603" width="6.140625" style="1" customWidth="1"/>
    <col min="14604" max="14604" width="1.85546875" style="1" customWidth="1"/>
    <col min="14605" max="14605" width="24.7109375" style="1" customWidth="1"/>
    <col min="14606" max="14606" width="7.28515625" style="1" customWidth="1"/>
    <col min="14607" max="14848" width="11.42578125" style="1"/>
    <col min="14849" max="14849" width="6" style="1" customWidth="1"/>
    <col min="14850" max="14850" width="1.85546875" style="1" customWidth="1"/>
    <col min="14851" max="14851" width="24.7109375" style="1" customWidth="1"/>
    <col min="14852" max="14852" width="7.28515625" style="1" customWidth="1"/>
    <col min="14853" max="14853" width="3.28515625" style="1" customWidth="1"/>
    <col min="14854" max="14854" width="6" style="1" customWidth="1"/>
    <col min="14855" max="14855" width="1.85546875" style="1" customWidth="1"/>
    <col min="14856" max="14856" width="24.7109375" style="1" customWidth="1"/>
    <col min="14857" max="14857" width="7.28515625" style="1" customWidth="1"/>
    <col min="14858" max="14858" width="3.28515625" style="1" customWidth="1"/>
    <col min="14859" max="14859" width="6.140625" style="1" customWidth="1"/>
    <col min="14860" max="14860" width="1.85546875" style="1" customWidth="1"/>
    <col min="14861" max="14861" width="24.7109375" style="1" customWidth="1"/>
    <col min="14862" max="14862" width="7.28515625" style="1" customWidth="1"/>
    <col min="14863" max="15104" width="11.42578125" style="1"/>
    <col min="15105" max="15105" width="6" style="1" customWidth="1"/>
    <col min="15106" max="15106" width="1.85546875" style="1" customWidth="1"/>
    <col min="15107" max="15107" width="24.7109375" style="1" customWidth="1"/>
    <col min="15108" max="15108" width="7.28515625" style="1" customWidth="1"/>
    <col min="15109" max="15109" width="3.28515625" style="1" customWidth="1"/>
    <col min="15110" max="15110" width="6" style="1" customWidth="1"/>
    <col min="15111" max="15111" width="1.85546875" style="1" customWidth="1"/>
    <col min="15112" max="15112" width="24.7109375" style="1" customWidth="1"/>
    <col min="15113" max="15113" width="7.28515625" style="1" customWidth="1"/>
    <col min="15114" max="15114" width="3.28515625" style="1" customWidth="1"/>
    <col min="15115" max="15115" width="6.140625" style="1" customWidth="1"/>
    <col min="15116" max="15116" width="1.85546875" style="1" customWidth="1"/>
    <col min="15117" max="15117" width="24.7109375" style="1" customWidth="1"/>
    <col min="15118" max="15118" width="7.28515625" style="1" customWidth="1"/>
    <col min="15119" max="15360" width="11.42578125" style="1"/>
    <col min="15361" max="15361" width="6" style="1" customWidth="1"/>
    <col min="15362" max="15362" width="1.85546875" style="1" customWidth="1"/>
    <col min="15363" max="15363" width="24.7109375" style="1" customWidth="1"/>
    <col min="15364" max="15364" width="7.28515625" style="1" customWidth="1"/>
    <col min="15365" max="15365" width="3.28515625" style="1" customWidth="1"/>
    <col min="15366" max="15366" width="6" style="1" customWidth="1"/>
    <col min="15367" max="15367" width="1.85546875" style="1" customWidth="1"/>
    <col min="15368" max="15368" width="24.7109375" style="1" customWidth="1"/>
    <col min="15369" max="15369" width="7.28515625" style="1" customWidth="1"/>
    <col min="15370" max="15370" width="3.28515625" style="1" customWidth="1"/>
    <col min="15371" max="15371" width="6.140625" style="1" customWidth="1"/>
    <col min="15372" max="15372" width="1.85546875" style="1" customWidth="1"/>
    <col min="15373" max="15373" width="24.7109375" style="1" customWidth="1"/>
    <col min="15374" max="15374" width="7.28515625" style="1" customWidth="1"/>
    <col min="15375" max="15616" width="11.42578125" style="1"/>
    <col min="15617" max="15617" width="6" style="1" customWidth="1"/>
    <col min="15618" max="15618" width="1.85546875" style="1" customWidth="1"/>
    <col min="15619" max="15619" width="24.7109375" style="1" customWidth="1"/>
    <col min="15620" max="15620" width="7.28515625" style="1" customWidth="1"/>
    <col min="15621" max="15621" width="3.28515625" style="1" customWidth="1"/>
    <col min="15622" max="15622" width="6" style="1" customWidth="1"/>
    <col min="15623" max="15623" width="1.85546875" style="1" customWidth="1"/>
    <col min="15624" max="15624" width="24.7109375" style="1" customWidth="1"/>
    <col min="15625" max="15625" width="7.28515625" style="1" customWidth="1"/>
    <col min="15626" max="15626" width="3.28515625" style="1" customWidth="1"/>
    <col min="15627" max="15627" width="6.140625" style="1" customWidth="1"/>
    <col min="15628" max="15628" width="1.85546875" style="1" customWidth="1"/>
    <col min="15629" max="15629" width="24.7109375" style="1" customWidth="1"/>
    <col min="15630" max="15630" width="7.28515625" style="1" customWidth="1"/>
    <col min="15631" max="15872" width="11.42578125" style="1"/>
    <col min="15873" max="15873" width="6" style="1" customWidth="1"/>
    <col min="15874" max="15874" width="1.85546875" style="1" customWidth="1"/>
    <col min="15875" max="15875" width="24.7109375" style="1" customWidth="1"/>
    <col min="15876" max="15876" width="7.28515625" style="1" customWidth="1"/>
    <col min="15877" max="15877" width="3.28515625" style="1" customWidth="1"/>
    <col min="15878" max="15878" width="6" style="1" customWidth="1"/>
    <col min="15879" max="15879" width="1.85546875" style="1" customWidth="1"/>
    <col min="15880" max="15880" width="24.7109375" style="1" customWidth="1"/>
    <col min="15881" max="15881" width="7.28515625" style="1" customWidth="1"/>
    <col min="15882" max="15882" width="3.28515625" style="1" customWidth="1"/>
    <col min="15883" max="15883" width="6.140625" style="1" customWidth="1"/>
    <col min="15884" max="15884" width="1.85546875" style="1" customWidth="1"/>
    <col min="15885" max="15885" width="24.7109375" style="1" customWidth="1"/>
    <col min="15886" max="15886" width="7.28515625" style="1" customWidth="1"/>
    <col min="15887" max="16128" width="11.42578125" style="1"/>
    <col min="16129" max="16129" width="6" style="1" customWidth="1"/>
    <col min="16130" max="16130" width="1.85546875" style="1" customWidth="1"/>
    <col min="16131" max="16131" width="24.7109375" style="1" customWidth="1"/>
    <col min="16132" max="16132" width="7.28515625" style="1" customWidth="1"/>
    <col min="16133" max="16133" width="3.28515625" style="1" customWidth="1"/>
    <col min="16134" max="16134" width="6" style="1" customWidth="1"/>
    <col min="16135" max="16135" width="1.85546875" style="1" customWidth="1"/>
    <col min="16136" max="16136" width="24.7109375" style="1" customWidth="1"/>
    <col min="16137" max="16137" width="7.28515625" style="1" customWidth="1"/>
    <col min="16138" max="16138" width="3.28515625" style="1" customWidth="1"/>
    <col min="16139" max="16139" width="6.140625" style="1" customWidth="1"/>
    <col min="16140" max="16140" width="1.85546875" style="1" customWidth="1"/>
    <col min="16141" max="16141" width="24.7109375" style="1" customWidth="1"/>
    <col min="16142" max="16142" width="7.28515625" style="1" customWidth="1"/>
    <col min="16143" max="16384" width="11.42578125" style="1"/>
  </cols>
  <sheetData>
    <row r="1" spans="1:28" ht="31.5" customHeight="1" thickBot="1">
      <c r="A1" s="448" t="s">
        <v>92</v>
      </c>
      <c r="B1" s="449"/>
      <c r="C1" s="449"/>
      <c r="D1" s="449"/>
      <c r="E1" s="449"/>
      <c r="F1" s="449"/>
      <c r="G1" s="449"/>
      <c r="H1" s="449"/>
      <c r="I1" s="449"/>
      <c r="J1" s="450"/>
      <c r="K1" s="451" t="str">
        <f>'1A_G'!M1</f>
        <v>ALISSAS</v>
      </c>
      <c r="L1" s="452"/>
      <c r="M1" s="453"/>
    </row>
    <row r="2" spans="1:28" ht="31.5" customHeight="1" thickBot="1">
      <c r="A2" s="454" t="str">
        <f>'1A_G'!C2</f>
        <v>M3      Journée  18 Equipes</v>
      </c>
      <c r="B2" s="455"/>
      <c r="C2" s="455"/>
      <c r="D2" s="455"/>
      <c r="E2" s="455"/>
      <c r="F2" s="455"/>
      <c r="G2" s="455"/>
      <c r="H2" s="455"/>
      <c r="I2" s="455"/>
      <c r="J2" s="456"/>
      <c r="K2" s="457" t="str">
        <f>'1A_G'!M2</f>
        <v>Samedi 14/09/2024</v>
      </c>
      <c r="L2" s="458"/>
      <c r="M2" s="459"/>
      <c r="Q2" s="466" t="s">
        <v>58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8"/>
    </row>
    <row r="3" spans="1:28" ht="7.9" customHeight="1" thickBot="1"/>
    <row r="4" spans="1:28" ht="25.5" customHeight="1" thickBot="1">
      <c r="A4" s="460" t="s">
        <v>9</v>
      </c>
      <c r="B4" s="461"/>
      <c r="C4" s="461"/>
      <c r="D4" s="462"/>
      <c r="F4" s="463" t="s">
        <v>10</v>
      </c>
      <c r="G4" s="464"/>
      <c r="H4" s="464"/>
      <c r="I4" s="465"/>
      <c r="Q4" s="439" t="s">
        <v>59</v>
      </c>
      <c r="R4" s="440"/>
      <c r="S4" s="110"/>
      <c r="T4" s="439" t="s">
        <v>60</v>
      </c>
      <c r="U4" s="440"/>
      <c r="V4" s="125"/>
      <c r="W4" s="439" t="s">
        <v>61</v>
      </c>
      <c r="X4" s="440"/>
      <c r="Y4" s="125"/>
      <c r="Z4" s="439" t="s">
        <v>12</v>
      </c>
      <c r="AA4" s="440"/>
      <c r="AB4" s="125"/>
    </row>
    <row r="5" spans="1:28" ht="7.9" customHeight="1">
      <c r="A5" s="2"/>
      <c r="B5" s="2"/>
      <c r="C5" s="2"/>
      <c r="D5" s="2"/>
      <c r="F5" s="2"/>
      <c r="G5" s="2"/>
      <c r="H5" s="2"/>
      <c r="I5" s="2"/>
    </row>
    <row r="6" spans="1:28" ht="21.75" customHeight="1" thickBot="1">
      <c r="A6" s="100" t="s">
        <v>6</v>
      </c>
      <c r="B6" s="100"/>
      <c r="C6" s="126" t="s">
        <v>7</v>
      </c>
      <c r="D6" s="126" t="s">
        <v>8</v>
      </c>
      <c r="E6" s="100"/>
      <c r="F6" s="100" t="s">
        <v>6</v>
      </c>
      <c r="G6" s="100"/>
      <c r="H6" s="126" t="s">
        <v>7</v>
      </c>
      <c r="I6" s="126" t="s">
        <v>8</v>
      </c>
      <c r="J6" s="100"/>
      <c r="K6" s="100"/>
      <c r="L6" s="100"/>
      <c r="M6" s="100"/>
      <c r="N6" s="100"/>
      <c r="R6" s="6" t="s">
        <v>26</v>
      </c>
      <c r="U6" s="6" t="s">
        <v>54</v>
      </c>
      <c r="V6" s="86" t="s">
        <v>66</v>
      </c>
      <c r="W6" s="86"/>
      <c r="X6" s="94" t="s">
        <v>26</v>
      </c>
      <c r="Y6" s="86" t="s">
        <v>62</v>
      </c>
      <c r="AA6" s="94" t="s">
        <v>26</v>
      </c>
      <c r="AB6" s="86" t="s">
        <v>63</v>
      </c>
    </row>
    <row r="7" spans="1:28" ht="31.15" customHeight="1" thickBot="1">
      <c r="A7" s="441"/>
      <c r="B7" s="89" t="s">
        <v>11</v>
      </c>
      <c r="C7" s="127" t="str">
        <f>IF(('1A_C.'!O10=""),"2ème Groupe 1",VLOOKUP(2,'1A_C.'!$Y$18:$Z$21,2,0))</f>
        <v>2ème Groupe 1</v>
      </c>
      <c r="D7" s="88"/>
      <c r="E7" s="100"/>
      <c r="F7" s="441"/>
      <c r="G7" s="89" t="s">
        <v>11</v>
      </c>
      <c r="H7" s="90" t="str">
        <f>IF(('1A_C.'!O10=""),"1er Groupe 1",VLOOKUP(1,'1A_C.'!$Y$18:$Z$21,2,0))</f>
        <v>1er Groupe 1</v>
      </c>
      <c r="I7" s="128"/>
      <c r="J7" s="91"/>
      <c r="K7" s="443" t="s">
        <v>12</v>
      </c>
      <c r="L7" s="444"/>
      <c r="M7" s="444"/>
      <c r="N7" s="445"/>
      <c r="P7" s="100">
        <v>4</v>
      </c>
      <c r="Q7" s="319" t="str">
        <f>IF(ISNA(MATCH(P7,'1A_Cl'!J7:J10,0)),"",INDEX('1A_Cl'!B7:B10,MATCH(P7,'1A_Cl'!J7:J10,0)))</f>
        <v/>
      </c>
      <c r="R7" s="356">
        <f>SUM(IFERROR(VLOOKUP(Q7,'1A_G'!$AY$7:$AZ$30,2,0),0),0)</f>
        <v>0</v>
      </c>
      <c r="T7" s="111" t="str">
        <f t="shared" ref="T7:T14" si="0">+C7</f>
        <v>2ème Groupe 1</v>
      </c>
      <c r="U7" s="105">
        <f>SUM(IFERROR(VLOOKUP(T7,$T$7:$V$15,3,0),0),IFERROR(VLOOKUP(T7,'1A_G'!$R$7:$S$29,2,0),0))</f>
        <v>0</v>
      </c>
      <c r="V7" s="122">
        <f t="array" ref="V7">IF(OR(C7:C8="OFFICE"),0,IF(D7&gt;D8,1,0))</f>
        <v>0</v>
      </c>
      <c r="W7" s="157"/>
      <c r="X7" s="153"/>
      <c r="Y7" s="106"/>
      <c r="Z7" s="107"/>
      <c r="AA7" s="153"/>
      <c r="AB7" s="148"/>
    </row>
    <row r="8" spans="1:28" ht="31.15" customHeight="1" thickBot="1">
      <c r="A8" s="442"/>
      <c r="B8" s="93" t="s">
        <v>13</v>
      </c>
      <c r="C8" s="115" t="str">
        <f>IF(('1A_C.'!O14=""),"3ème Groupe 2",VLOOKUP(3,'1A_C.'!$Y$22:$Z$25,2,0))</f>
        <v>3ème Groupe 2</v>
      </c>
      <c r="D8" s="92"/>
      <c r="E8" s="100"/>
      <c r="F8" s="442"/>
      <c r="G8" s="93" t="s">
        <v>13</v>
      </c>
      <c r="H8" s="94" t="str">
        <f>IF(('1A_C.'!O14=""),"1er Groupe 2",VLOOKUP(1,'1A_C.'!$Y$22:$Z$25,2,0))</f>
        <v>1er Groupe 2</v>
      </c>
      <c r="I8" s="129"/>
      <c r="J8" s="91"/>
      <c r="K8" s="100"/>
      <c r="L8" s="100"/>
      <c r="M8" s="100"/>
      <c r="N8" s="100"/>
      <c r="P8" s="100">
        <v>4</v>
      </c>
      <c r="Q8" s="320" t="str">
        <f>IF(ISNA(MATCH(P8,'1A_Cl'!J12:J15,0)),"",INDEX('1A_Cl'!B12:B15,MATCH(P8,'1A_Cl'!J12:J15,0)))</f>
        <v/>
      </c>
      <c r="R8" s="359">
        <f>SUM(IFERROR(VLOOKUP(Q8,'1A_G'!$AY$7:$AZ$30,2,0),0),0)</f>
        <v>0</v>
      </c>
      <c r="T8" s="112" t="str">
        <f t="shared" si="0"/>
        <v>3ème Groupe 2</v>
      </c>
      <c r="U8" s="103">
        <f>SUM(IFERROR(VLOOKUP(T8,$T$7:$V$15,3,0),0),IFERROR(VLOOKUP(T8,'1A_G'!$R$7:$S$29,2,0),0))</f>
        <v>0</v>
      </c>
      <c r="V8" s="116">
        <f t="array" ref="V8">IF(OR(C7:C8="OFFICE"),0,IF(D7&lt;D8,1,0))</f>
        <v>0</v>
      </c>
      <c r="W8" s="158" t="str">
        <f>+H7</f>
        <v>1er Groupe 1</v>
      </c>
      <c r="X8" s="162">
        <f>SUM(IFERROR(VLOOKUP(W8,$W$7:$Y$15,3,0),0),IFERROR(VLOOKUP(W8,'1A_G'!$AY$7:$AZ$14,2,0),IFERROR(VLOOKUP(W8,'1A_G'!$AY$18:$AZ$30,2,0),0)))</f>
        <v>0</v>
      </c>
      <c r="Y8" s="116">
        <f t="array" ref="Y8">IF(OR(H7:H8="OFFICE"),0,IF(I7&gt;I8,1,0))</f>
        <v>0</v>
      </c>
      <c r="Z8" s="117"/>
      <c r="AA8" s="154"/>
      <c r="AB8" s="149"/>
    </row>
    <row r="9" spans="1:28" ht="31.15" customHeight="1" thickBot="1">
      <c r="A9" s="441"/>
      <c r="B9" s="89" t="s">
        <v>14</v>
      </c>
      <c r="C9" s="130" t="str">
        <f>+'1A_G'!AR19</f>
        <v xml:space="preserve"> </v>
      </c>
      <c r="D9" s="88"/>
      <c r="E9" s="100"/>
      <c r="F9" s="36"/>
      <c r="G9" s="131"/>
      <c r="H9" s="132"/>
      <c r="I9" s="133"/>
      <c r="J9" s="91"/>
      <c r="K9" s="100" t="s">
        <v>6</v>
      </c>
      <c r="L9" s="100"/>
      <c r="M9" s="126" t="s">
        <v>7</v>
      </c>
      <c r="N9" s="126" t="s">
        <v>8</v>
      </c>
      <c r="P9" s="100">
        <v>4</v>
      </c>
      <c r="Q9" s="112" t="str">
        <f>IF(ISNA(MATCH(P9,'1A_Cl'!J17:J22,0)),"",INDEX('1A_Cl'!B17:$B$22,MATCH(P9,'1A_Cl'!J17:J22,0)))</f>
        <v/>
      </c>
      <c r="R9" s="359">
        <f>SUM(IFERROR(VLOOKUP(Q9,'1A_G'!$AY$7:$AZ$30,2,0),0),0)</f>
        <v>0</v>
      </c>
      <c r="T9" s="112" t="str">
        <f t="shared" si="0"/>
        <v xml:space="preserve"> </v>
      </c>
      <c r="U9" s="103">
        <f>SUM(IFERROR(VLOOKUP(T9,$T$7:$V$15,3,0),0),IFERROR(VLOOKUP(T9,'1A_G'!$R$7:$S$29,2,0),0))</f>
        <v>0</v>
      </c>
      <c r="V9" s="116">
        <f t="array" ref="V9">IF(OR(C9:C10="OFFICE"),0,IF(D9&gt;D10,1,0))</f>
        <v>0</v>
      </c>
      <c r="W9" s="158" t="str">
        <f>+H8</f>
        <v>1er Groupe 2</v>
      </c>
      <c r="X9" s="162">
        <f>SUM(IFERROR(VLOOKUP(W9,$W$7:$Y$15,3,0),0),IFERROR(VLOOKUP(W9,'1A_G'!$AY$7:$AZ$14,2,0),IFERROR(VLOOKUP(W9,'1A_G'!$AY$18:$AZ$30,2,0),0)))</f>
        <v>0</v>
      </c>
      <c r="Y9" s="116">
        <f t="array" ref="Y9">IF(OR(H7:H8="OFFICE"),0,IF(I7&lt;I8,1,0))</f>
        <v>0</v>
      </c>
      <c r="Z9" s="117"/>
      <c r="AA9" s="154"/>
      <c r="AB9" s="149"/>
    </row>
    <row r="10" spans="1:28" ht="31.15" customHeight="1" thickBot="1">
      <c r="A10" s="446"/>
      <c r="B10" s="96" t="s">
        <v>15</v>
      </c>
      <c r="C10" s="134" t="str">
        <f>+'1A_G'!AR27</f>
        <v xml:space="preserve"> </v>
      </c>
      <c r="D10" s="95"/>
      <c r="E10" s="100"/>
      <c r="F10" s="40"/>
      <c r="G10" s="99"/>
      <c r="H10" s="34"/>
      <c r="I10" s="91"/>
      <c r="J10" s="34"/>
      <c r="K10" s="441"/>
      <c r="L10" s="89" t="s">
        <v>11</v>
      </c>
      <c r="M10" s="90" t="str">
        <f>IF((I8=""),"",IF((I7&gt;I8),H7,H8))</f>
        <v/>
      </c>
      <c r="N10" s="128"/>
      <c r="P10" s="100">
        <v>4</v>
      </c>
      <c r="Q10" s="114" t="str">
        <f>IF(ISNA(MATCH(P10,'1A_Cl'!J24:J29,0)),"",INDEX('1A_Cl'!B24:$B$29,MATCH(P10,'1A_Cl'!J24:J29,0)))</f>
        <v/>
      </c>
      <c r="R10" s="358">
        <f>SUM(IFERROR(VLOOKUP(Q10,'1A_G'!$AY$7:$AZ$30,2,0),0),0)</f>
        <v>0</v>
      </c>
      <c r="T10" s="113" t="str">
        <f t="shared" si="0"/>
        <v xml:space="preserve"> </v>
      </c>
      <c r="U10" s="104">
        <f>SUM(IFERROR(VLOOKUP(T10,$T$7:$V$15,3,0),0),IFERROR(VLOOKUP(T10,'1A_G'!$R$7:$S$29,2,0),0))</f>
        <v>0</v>
      </c>
      <c r="V10" s="123">
        <f t="array" ref="V10">IF(OR(C9:C10="OFFICE"),0,IF(D9&lt;D10,1,0))</f>
        <v>0</v>
      </c>
      <c r="W10" s="159"/>
      <c r="X10" s="163"/>
      <c r="Y10" s="118"/>
      <c r="Z10" s="119" t="str">
        <f>+M10</f>
        <v/>
      </c>
      <c r="AA10" s="155">
        <f>SUM(IFERROR(VLOOKUP(Z10,$W$8:$Y$13,2,0),IFERROR(VLOOKUP(Z10,$Z$10:$AB$11,3,0),IFERROR(VLOOKUP(Z10,'1A_G'!$AY$7:$AZ$14,2,0),IFERROR(VLOOKUP(Z10,'1A_G'!$AY$18:$AZ$30,2,0),0)))))</f>
        <v>0</v>
      </c>
      <c r="AB10" s="150">
        <f t="array" ref="AB10">IF(OR(M10:M11="OFFICE"),0,IF(N10&gt;N11,1,0))</f>
        <v>0</v>
      </c>
    </row>
    <row r="11" spans="1:28" ht="31.15" customHeight="1" thickTop="1" thickBot="1">
      <c r="A11" s="447"/>
      <c r="B11" s="98" t="s">
        <v>16</v>
      </c>
      <c r="C11" s="135" t="str">
        <f>IF(('1A_C.'!O10=""),"3ème Groupe 1",VLOOKUP(3,'1A_C.'!$Y$18:$Z$21,2,0))</f>
        <v>3ème Groupe 1</v>
      </c>
      <c r="D11" s="97"/>
      <c r="E11" s="100"/>
      <c r="F11" s="443" t="s">
        <v>17</v>
      </c>
      <c r="G11" s="444"/>
      <c r="H11" s="444"/>
      <c r="I11" s="445"/>
      <c r="J11" s="34"/>
      <c r="K11" s="442"/>
      <c r="L11" s="93" t="s">
        <v>13</v>
      </c>
      <c r="M11" s="115" t="str">
        <f>IF((I14=""),"",IF((I13&gt;I14),H13,H14))</f>
        <v/>
      </c>
      <c r="N11" s="129"/>
      <c r="T11" s="111" t="str">
        <f t="shared" si="0"/>
        <v>3ème Groupe 1</v>
      </c>
      <c r="U11" s="102">
        <f>SUM(IFERROR(VLOOKUP(T11,$T$7:$V$15,3,0),0),IFERROR(VLOOKUP(T11,'1A_G'!$R$7:$S$29,2,0),0))</f>
        <v>0</v>
      </c>
      <c r="V11" s="122">
        <f t="array" ref="V11">IF(OR(C11:C12="OFFICE"),0,IF(D11&gt;D12,1,0))</f>
        <v>0</v>
      </c>
      <c r="W11" s="160"/>
      <c r="X11" s="164"/>
      <c r="Y11" s="120"/>
      <c r="Z11" s="121" t="str">
        <f>+M11</f>
        <v/>
      </c>
      <c r="AA11" s="155">
        <f>SUM(IFERROR(VLOOKUP(Z11,$W$8:$Y$13,2,0),IFERROR(VLOOKUP(Z11,$Z$10:$AB$11,3,0),IFERROR(VLOOKUP(Z11,'1A_G'!$AY$7:$AZ$14,2,0),IFERROR(VLOOKUP(Z11,'1A_G'!$AY$18:$AZ$30,2,0),0)))))</f>
        <v>0</v>
      </c>
      <c r="AB11" s="151">
        <f t="array" ref="AB11">IF(OR(M10:M11="OFFICE"),0,IF(N10&lt;N11,1,0))</f>
        <v>0</v>
      </c>
    </row>
    <row r="12" spans="1:28" ht="31.15" customHeight="1" thickBot="1">
      <c r="A12" s="442"/>
      <c r="B12" s="93" t="s">
        <v>18</v>
      </c>
      <c r="C12" s="136" t="str">
        <f>IF(('1A_C.'!O14=""),"2ème  Groupe 2",VLOOKUP(2,'1A_C.'!$Y$22:$Z$25,2,0))</f>
        <v>2ème  Groupe 2</v>
      </c>
      <c r="D12" s="92"/>
      <c r="E12" s="100"/>
      <c r="F12" s="41"/>
      <c r="G12" s="137"/>
      <c r="H12" s="138"/>
      <c r="I12" s="101"/>
      <c r="J12" s="91"/>
      <c r="K12" s="40"/>
      <c r="L12" s="99"/>
      <c r="M12" s="94"/>
      <c r="N12" s="91"/>
      <c r="T12" s="112" t="str">
        <f t="shared" si="0"/>
        <v>2ème  Groupe 2</v>
      </c>
      <c r="U12" s="103">
        <f>SUM(IFERROR(VLOOKUP(T12,$T$7:$V$15,3,0),0),IFERROR(VLOOKUP(T12,'1A_G'!$R$7:$S$29,2,0),0))</f>
        <v>0</v>
      </c>
      <c r="V12" s="116">
        <f t="array" ref="V12">IF(OR(C11:C12="OFFICE"),0,IF(D11&lt;D12,1,0))</f>
        <v>0</v>
      </c>
      <c r="W12" s="158" t="str">
        <f>+H13</f>
        <v>AGUILERA Vincent</v>
      </c>
      <c r="X12" s="162">
        <f>SUM(IFERROR(VLOOKUP(W12,$W$7:$TY$15,3,0),0),IFERROR(VLOOKUP(W12,'1A_G'!$R$7:$V$29,2,0),0))</f>
        <v>0</v>
      </c>
      <c r="Y12" s="116">
        <f t="array" ref="Y12">IF(OR(H13:H14="OFFICE"),0,IF(I13&gt;I14,1,0))</f>
        <v>0</v>
      </c>
      <c r="Z12" s="117"/>
      <c r="AA12" s="154"/>
      <c r="AB12" s="149"/>
    </row>
    <row r="13" spans="1:28" ht="31.15" customHeight="1" thickBot="1">
      <c r="A13" s="441"/>
      <c r="B13" s="89" t="s">
        <v>19</v>
      </c>
      <c r="C13" s="139" t="str">
        <f>+'1A_G'!AR20</f>
        <v xml:space="preserve"> </v>
      </c>
      <c r="D13" s="88"/>
      <c r="E13" s="100"/>
      <c r="F13" s="441"/>
      <c r="G13" s="89" t="s">
        <v>19</v>
      </c>
      <c r="H13" s="90" t="str">
        <f>+'1A_G'!AR18</f>
        <v>AGUILERA Vincent</v>
      </c>
      <c r="I13" s="128"/>
      <c r="J13" s="91"/>
      <c r="K13" s="40"/>
      <c r="L13" s="99"/>
      <c r="M13" s="34"/>
      <c r="N13" s="91"/>
      <c r="Q13" s="439" t="s">
        <v>100</v>
      </c>
      <c r="R13" s="440"/>
      <c r="T13" s="112" t="str">
        <f t="shared" si="0"/>
        <v xml:space="preserve"> </v>
      </c>
      <c r="U13" s="103">
        <f>SUM(IFERROR(VLOOKUP(T13,$T$7:$V$15,3,0),0),IFERROR(VLOOKUP(T13,'1A_G'!$R$7:$S$29,2,0),0))</f>
        <v>0</v>
      </c>
      <c r="V13" s="116">
        <f t="array" ref="V13">IF(OR(C13:C14="OFFICE"),0,IF(D13&gt;D14,1,0))</f>
        <v>0</v>
      </c>
      <c r="W13" s="158" t="str">
        <f>+H14</f>
        <v>JOUVE GERARD</v>
      </c>
      <c r="X13" s="162">
        <f>SUM(IFERROR(VLOOKUP(W13,$W$7:$Y$15,3,0),0),IFERROR(VLOOKUP(W13,'1A_G'!$R$7:$V$29,2,0),0))</f>
        <v>0</v>
      </c>
      <c r="Y13" s="116">
        <f t="array" ref="Y13">IF(OR(H13:H14="OFFICE"),0,IF(I13&lt;I14,1,0))</f>
        <v>0</v>
      </c>
      <c r="Z13" s="117"/>
      <c r="AA13" s="154"/>
      <c r="AB13" s="149"/>
    </row>
    <row r="14" spans="1:28" ht="31.15" customHeight="1" thickBot="1">
      <c r="A14" s="442"/>
      <c r="B14" s="93" t="s">
        <v>20</v>
      </c>
      <c r="C14" s="140" t="str">
        <f>+'1A_G'!AR26</f>
        <v xml:space="preserve"> </v>
      </c>
      <c r="D14" s="92"/>
      <c r="E14" s="100"/>
      <c r="F14" s="442"/>
      <c r="G14" s="93" t="s">
        <v>20</v>
      </c>
      <c r="H14" s="115" t="str">
        <f>+'1A_G'!AR25</f>
        <v>JOUVE GERARD</v>
      </c>
      <c r="I14" s="129"/>
      <c r="J14" s="91"/>
      <c r="K14" s="40"/>
      <c r="L14" s="99"/>
      <c r="M14" s="34"/>
      <c r="N14" s="91"/>
      <c r="R14" s="6" t="s">
        <v>26</v>
      </c>
      <c r="T14" s="114" t="str">
        <f t="shared" si="0"/>
        <v xml:space="preserve"> </v>
      </c>
      <c r="U14" s="104">
        <f>SUM(IFERROR(VLOOKUP(T14,$T$7:$V$15,3,0),0),IFERROR(VLOOKUP(T14,'1A_G'!$R$7:$S$29,2,0),0))</f>
        <v>0</v>
      </c>
      <c r="V14" s="124">
        <f t="array" ref="V14">IF(OR(C13:C14="OFFICE"),0,IF(D13&lt;D14,1,0))</f>
        <v>0</v>
      </c>
      <c r="W14" s="161"/>
      <c r="X14" s="156"/>
      <c r="Y14" s="108"/>
      <c r="Z14" s="109"/>
      <c r="AA14" s="156"/>
      <c r="AB14" s="152"/>
    </row>
    <row r="15" spans="1:28" ht="33" customHeight="1">
      <c r="A15" s="6"/>
      <c r="B15" s="29"/>
      <c r="C15" s="30"/>
      <c r="D15" s="31"/>
      <c r="E15" s="6"/>
      <c r="F15" s="6"/>
      <c r="G15" s="29"/>
      <c r="H15" s="32"/>
      <c r="I15" s="33"/>
      <c r="J15" s="9"/>
      <c r="K15" s="6"/>
      <c r="L15" s="29"/>
      <c r="M15" s="32"/>
      <c r="N15" s="33"/>
      <c r="P15" s="100">
        <v>5</v>
      </c>
      <c r="Q15" s="319" t="str">
        <f>IF(ISNA(MATCH(P15,'1A_Cl'!J17:J22,0)),"",INDEX('1A_Cl'!B17:B22,MATCH(P15,'1A_Cl'!J17:J22,0)))</f>
        <v/>
      </c>
      <c r="R15" s="356">
        <f>SUM(IFERROR(VLOOKUP(Q15,'1A_G'!$AY$7:$AZ$30,2,0),0),0)</f>
        <v>0</v>
      </c>
    </row>
    <row r="16" spans="1:28" ht="28.5" customHeight="1" thickBot="1">
      <c r="A16"/>
      <c r="B16"/>
      <c r="C16"/>
      <c r="D16" s="31"/>
      <c r="E16" s="6"/>
      <c r="F16" s="6"/>
      <c r="G16" s="35"/>
      <c r="H16" s="2"/>
      <c r="I16" s="31"/>
      <c r="P16" s="100">
        <v>5</v>
      </c>
      <c r="Q16" s="357" t="str">
        <f>IF(ISNA(MATCH(P16,'1A_Cl'!J24:J29,0)),"",INDEX('1A_Cl'!B24:B29,MATCH(P16,'1A_Cl'!J24:J29,0)))</f>
        <v/>
      </c>
      <c r="R16" s="358">
        <f>SUM(IFERROR(VLOOKUP(Q16,'1A_G'!$AY$7:$AZ$30,2,0),0),0)</f>
        <v>0</v>
      </c>
    </row>
    <row r="17" spans="1:18" ht="26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P17"/>
      <c r="Q17"/>
      <c r="R17"/>
    </row>
    <row r="18" spans="1:18" ht="24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P18"/>
      <c r="Q18"/>
      <c r="R18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8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8" ht="37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8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8" ht="30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8" ht="30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8" ht="30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8" ht="30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8" ht="30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8" ht="30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sheetProtection sheet="1" objects="1" scenarios="1"/>
  <mergeCells count="21">
    <mergeCell ref="Q2:AB2"/>
    <mergeCell ref="Q4:R4"/>
    <mergeCell ref="T4:U4"/>
    <mergeCell ref="W4:X4"/>
    <mergeCell ref="Z4:AA4"/>
    <mergeCell ref="A1:J1"/>
    <mergeCell ref="K1:M1"/>
    <mergeCell ref="A2:J2"/>
    <mergeCell ref="K2:M2"/>
    <mergeCell ref="A4:D4"/>
    <mergeCell ref="F4:I4"/>
    <mergeCell ref="Q13:R13"/>
    <mergeCell ref="A13:A14"/>
    <mergeCell ref="F13:F14"/>
    <mergeCell ref="A7:A8"/>
    <mergeCell ref="F7:F8"/>
    <mergeCell ref="K7:N7"/>
    <mergeCell ref="A9:A10"/>
    <mergeCell ref="K10:K11"/>
    <mergeCell ref="A11:A12"/>
    <mergeCell ref="F11:I11"/>
  </mergeCells>
  <conditionalFormatting sqref="C11:C15">
    <cfRule type="cellIs" dxfId="22" priority="13" stopIfTrue="1" operator="equal">
      <formula>"OFFICE"</formula>
    </cfRule>
  </conditionalFormatting>
  <conditionalFormatting sqref="H9:H10 M13:M15 H15">
    <cfRule type="cellIs" dxfId="21" priority="12" stopIfTrue="1" operator="equal">
      <formula>"OFFICE"</formula>
    </cfRule>
  </conditionalFormatting>
  <conditionalFormatting sqref="X8">
    <cfRule type="expression" dxfId="20" priority="2">
      <formula>OR($Y$8&gt;$Y$9)</formula>
    </cfRule>
  </conditionalFormatting>
  <conditionalFormatting sqref="X9">
    <cfRule type="expression" dxfId="19" priority="1">
      <formula>OR($Y$9&gt;$Y$8)</formula>
    </cfRule>
  </conditionalFormatting>
  <conditionalFormatting sqref="X12">
    <cfRule type="expression" dxfId="18" priority="4">
      <formula>OR($Y$12&gt;$Y$13,$Y$12=$Y$13)</formula>
    </cfRule>
  </conditionalFormatting>
  <conditionalFormatting sqref="X13">
    <cfRule type="expression" dxfId="17" priority="3">
      <formula>OR($Y$13&gt;$Y$12,$Y$12=$Y$13)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31"/>
  <sheetViews>
    <sheetView zoomScaleNormal="100" zoomScaleSheetLayoutView="70" workbookViewId="0">
      <selection activeCell="R5" sqref="R5"/>
    </sheetView>
  </sheetViews>
  <sheetFormatPr baseColWidth="10" defaultColWidth="11.42578125" defaultRowHeight="12.75"/>
  <cols>
    <col min="1" max="1" width="3.5703125" style="1" bestFit="1" customWidth="1"/>
    <col min="2" max="2" width="31.5703125" style="1" bestFit="1" customWidth="1"/>
    <col min="3" max="3" width="5.7109375" style="1" customWidth="1"/>
    <col min="4" max="4" width="5.5703125" style="1" customWidth="1"/>
    <col min="5" max="5" width="5.7109375" style="1" customWidth="1"/>
    <col min="6" max="6" width="7.28515625" style="1" bestFit="1" customWidth="1"/>
    <col min="7" max="9" width="9.85546875" style="1" customWidth="1"/>
    <col min="10" max="10" width="16" style="1" customWidth="1"/>
    <col min="11" max="11" width="8.85546875" style="1" customWidth="1"/>
    <col min="12" max="12" width="9.7109375" style="1" bestFit="1" customWidth="1"/>
    <col min="13" max="14" width="9.28515625" style="1" customWidth="1"/>
    <col min="15" max="15" width="10.5703125" style="1" bestFit="1" customWidth="1"/>
    <col min="16" max="16" width="12.7109375" style="1" customWidth="1"/>
    <col min="17" max="255" width="11.42578125" style="1"/>
    <col min="256" max="256" width="5.7109375" style="1" customWidth="1"/>
    <col min="257" max="257" width="24.7109375" style="1" customWidth="1"/>
    <col min="258" max="260" width="5.7109375" style="1" customWidth="1"/>
    <col min="261" max="261" width="7.42578125" style="1" customWidth="1"/>
    <col min="262" max="264" width="9.85546875" style="1" customWidth="1"/>
    <col min="265" max="265" width="13" style="1" customWidth="1"/>
    <col min="266" max="266" width="8.85546875" style="1" customWidth="1"/>
    <col min="267" max="267" width="9.7109375" style="1" bestFit="1" customWidth="1"/>
    <col min="268" max="269" width="9.28515625" style="1" customWidth="1"/>
    <col min="270" max="511" width="11.42578125" style="1"/>
    <col min="512" max="512" width="5.7109375" style="1" customWidth="1"/>
    <col min="513" max="513" width="24.7109375" style="1" customWidth="1"/>
    <col min="514" max="516" width="5.7109375" style="1" customWidth="1"/>
    <col min="517" max="517" width="7.42578125" style="1" customWidth="1"/>
    <col min="518" max="520" width="9.85546875" style="1" customWidth="1"/>
    <col min="521" max="521" width="13" style="1" customWidth="1"/>
    <col min="522" max="522" width="8.85546875" style="1" customWidth="1"/>
    <col min="523" max="523" width="9.7109375" style="1" bestFit="1" customWidth="1"/>
    <col min="524" max="525" width="9.28515625" style="1" customWidth="1"/>
    <col min="526" max="767" width="11.42578125" style="1"/>
    <col min="768" max="768" width="5.7109375" style="1" customWidth="1"/>
    <col min="769" max="769" width="24.7109375" style="1" customWidth="1"/>
    <col min="770" max="772" width="5.7109375" style="1" customWidth="1"/>
    <col min="773" max="773" width="7.42578125" style="1" customWidth="1"/>
    <col min="774" max="776" width="9.85546875" style="1" customWidth="1"/>
    <col min="777" max="777" width="13" style="1" customWidth="1"/>
    <col min="778" max="778" width="8.85546875" style="1" customWidth="1"/>
    <col min="779" max="779" width="9.7109375" style="1" bestFit="1" customWidth="1"/>
    <col min="780" max="781" width="9.28515625" style="1" customWidth="1"/>
    <col min="782" max="1023" width="11.42578125" style="1"/>
    <col min="1024" max="1024" width="5.7109375" style="1" customWidth="1"/>
    <col min="1025" max="1025" width="24.7109375" style="1" customWidth="1"/>
    <col min="1026" max="1028" width="5.7109375" style="1" customWidth="1"/>
    <col min="1029" max="1029" width="7.42578125" style="1" customWidth="1"/>
    <col min="1030" max="1032" width="9.85546875" style="1" customWidth="1"/>
    <col min="1033" max="1033" width="13" style="1" customWidth="1"/>
    <col min="1034" max="1034" width="8.85546875" style="1" customWidth="1"/>
    <col min="1035" max="1035" width="9.7109375" style="1" bestFit="1" customWidth="1"/>
    <col min="1036" max="1037" width="9.28515625" style="1" customWidth="1"/>
    <col min="1038" max="1279" width="11.42578125" style="1"/>
    <col min="1280" max="1280" width="5.7109375" style="1" customWidth="1"/>
    <col min="1281" max="1281" width="24.7109375" style="1" customWidth="1"/>
    <col min="1282" max="1284" width="5.7109375" style="1" customWidth="1"/>
    <col min="1285" max="1285" width="7.42578125" style="1" customWidth="1"/>
    <col min="1286" max="1288" width="9.85546875" style="1" customWidth="1"/>
    <col min="1289" max="1289" width="13" style="1" customWidth="1"/>
    <col min="1290" max="1290" width="8.85546875" style="1" customWidth="1"/>
    <col min="1291" max="1291" width="9.7109375" style="1" bestFit="1" customWidth="1"/>
    <col min="1292" max="1293" width="9.28515625" style="1" customWidth="1"/>
    <col min="1294" max="1535" width="11.42578125" style="1"/>
    <col min="1536" max="1536" width="5.7109375" style="1" customWidth="1"/>
    <col min="1537" max="1537" width="24.7109375" style="1" customWidth="1"/>
    <col min="1538" max="1540" width="5.7109375" style="1" customWidth="1"/>
    <col min="1541" max="1541" width="7.42578125" style="1" customWidth="1"/>
    <col min="1542" max="1544" width="9.85546875" style="1" customWidth="1"/>
    <col min="1545" max="1545" width="13" style="1" customWidth="1"/>
    <col min="1546" max="1546" width="8.85546875" style="1" customWidth="1"/>
    <col min="1547" max="1547" width="9.7109375" style="1" bestFit="1" customWidth="1"/>
    <col min="1548" max="1549" width="9.28515625" style="1" customWidth="1"/>
    <col min="1550" max="1791" width="11.42578125" style="1"/>
    <col min="1792" max="1792" width="5.7109375" style="1" customWidth="1"/>
    <col min="1793" max="1793" width="24.7109375" style="1" customWidth="1"/>
    <col min="1794" max="1796" width="5.7109375" style="1" customWidth="1"/>
    <col min="1797" max="1797" width="7.42578125" style="1" customWidth="1"/>
    <col min="1798" max="1800" width="9.85546875" style="1" customWidth="1"/>
    <col min="1801" max="1801" width="13" style="1" customWidth="1"/>
    <col min="1802" max="1802" width="8.85546875" style="1" customWidth="1"/>
    <col min="1803" max="1803" width="9.7109375" style="1" bestFit="1" customWidth="1"/>
    <col min="1804" max="1805" width="9.28515625" style="1" customWidth="1"/>
    <col min="1806" max="2047" width="11.42578125" style="1"/>
    <col min="2048" max="2048" width="5.7109375" style="1" customWidth="1"/>
    <col min="2049" max="2049" width="24.7109375" style="1" customWidth="1"/>
    <col min="2050" max="2052" width="5.7109375" style="1" customWidth="1"/>
    <col min="2053" max="2053" width="7.42578125" style="1" customWidth="1"/>
    <col min="2054" max="2056" width="9.85546875" style="1" customWidth="1"/>
    <col min="2057" max="2057" width="13" style="1" customWidth="1"/>
    <col min="2058" max="2058" width="8.85546875" style="1" customWidth="1"/>
    <col min="2059" max="2059" width="9.7109375" style="1" bestFit="1" customWidth="1"/>
    <col min="2060" max="2061" width="9.28515625" style="1" customWidth="1"/>
    <col min="2062" max="2303" width="11.42578125" style="1"/>
    <col min="2304" max="2304" width="5.7109375" style="1" customWidth="1"/>
    <col min="2305" max="2305" width="24.7109375" style="1" customWidth="1"/>
    <col min="2306" max="2308" width="5.7109375" style="1" customWidth="1"/>
    <col min="2309" max="2309" width="7.42578125" style="1" customWidth="1"/>
    <col min="2310" max="2312" width="9.85546875" style="1" customWidth="1"/>
    <col min="2313" max="2313" width="13" style="1" customWidth="1"/>
    <col min="2314" max="2314" width="8.85546875" style="1" customWidth="1"/>
    <col min="2315" max="2315" width="9.7109375" style="1" bestFit="1" customWidth="1"/>
    <col min="2316" max="2317" width="9.28515625" style="1" customWidth="1"/>
    <col min="2318" max="2559" width="11.42578125" style="1"/>
    <col min="2560" max="2560" width="5.7109375" style="1" customWidth="1"/>
    <col min="2561" max="2561" width="24.7109375" style="1" customWidth="1"/>
    <col min="2562" max="2564" width="5.7109375" style="1" customWidth="1"/>
    <col min="2565" max="2565" width="7.42578125" style="1" customWidth="1"/>
    <col min="2566" max="2568" width="9.85546875" style="1" customWidth="1"/>
    <col min="2569" max="2569" width="13" style="1" customWidth="1"/>
    <col min="2570" max="2570" width="8.85546875" style="1" customWidth="1"/>
    <col min="2571" max="2571" width="9.7109375" style="1" bestFit="1" customWidth="1"/>
    <col min="2572" max="2573" width="9.28515625" style="1" customWidth="1"/>
    <col min="2574" max="2815" width="11.42578125" style="1"/>
    <col min="2816" max="2816" width="5.7109375" style="1" customWidth="1"/>
    <col min="2817" max="2817" width="24.7109375" style="1" customWidth="1"/>
    <col min="2818" max="2820" width="5.7109375" style="1" customWidth="1"/>
    <col min="2821" max="2821" width="7.42578125" style="1" customWidth="1"/>
    <col min="2822" max="2824" width="9.85546875" style="1" customWidth="1"/>
    <col min="2825" max="2825" width="13" style="1" customWidth="1"/>
    <col min="2826" max="2826" width="8.85546875" style="1" customWidth="1"/>
    <col min="2827" max="2827" width="9.7109375" style="1" bestFit="1" customWidth="1"/>
    <col min="2828" max="2829" width="9.28515625" style="1" customWidth="1"/>
    <col min="2830" max="3071" width="11.42578125" style="1"/>
    <col min="3072" max="3072" width="5.7109375" style="1" customWidth="1"/>
    <col min="3073" max="3073" width="24.7109375" style="1" customWidth="1"/>
    <col min="3074" max="3076" width="5.7109375" style="1" customWidth="1"/>
    <col min="3077" max="3077" width="7.42578125" style="1" customWidth="1"/>
    <col min="3078" max="3080" width="9.85546875" style="1" customWidth="1"/>
    <col min="3081" max="3081" width="13" style="1" customWidth="1"/>
    <col min="3082" max="3082" width="8.85546875" style="1" customWidth="1"/>
    <col min="3083" max="3083" width="9.7109375" style="1" bestFit="1" customWidth="1"/>
    <col min="3084" max="3085" width="9.28515625" style="1" customWidth="1"/>
    <col min="3086" max="3327" width="11.42578125" style="1"/>
    <col min="3328" max="3328" width="5.7109375" style="1" customWidth="1"/>
    <col min="3329" max="3329" width="24.7109375" style="1" customWidth="1"/>
    <col min="3330" max="3332" width="5.7109375" style="1" customWidth="1"/>
    <col min="3333" max="3333" width="7.42578125" style="1" customWidth="1"/>
    <col min="3334" max="3336" width="9.85546875" style="1" customWidth="1"/>
    <col min="3337" max="3337" width="13" style="1" customWidth="1"/>
    <col min="3338" max="3338" width="8.85546875" style="1" customWidth="1"/>
    <col min="3339" max="3339" width="9.7109375" style="1" bestFit="1" customWidth="1"/>
    <col min="3340" max="3341" width="9.28515625" style="1" customWidth="1"/>
    <col min="3342" max="3583" width="11.42578125" style="1"/>
    <col min="3584" max="3584" width="5.7109375" style="1" customWidth="1"/>
    <col min="3585" max="3585" width="24.7109375" style="1" customWidth="1"/>
    <col min="3586" max="3588" width="5.7109375" style="1" customWidth="1"/>
    <col min="3589" max="3589" width="7.42578125" style="1" customWidth="1"/>
    <col min="3590" max="3592" width="9.85546875" style="1" customWidth="1"/>
    <col min="3593" max="3593" width="13" style="1" customWidth="1"/>
    <col min="3594" max="3594" width="8.85546875" style="1" customWidth="1"/>
    <col min="3595" max="3595" width="9.7109375" style="1" bestFit="1" customWidth="1"/>
    <col min="3596" max="3597" width="9.28515625" style="1" customWidth="1"/>
    <col min="3598" max="3839" width="11.42578125" style="1"/>
    <col min="3840" max="3840" width="5.7109375" style="1" customWidth="1"/>
    <col min="3841" max="3841" width="24.7109375" style="1" customWidth="1"/>
    <col min="3842" max="3844" width="5.7109375" style="1" customWidth="1"/>
    <col min="3845" max="3845" width="7.42578125" style="1" customWidth="1"/>
    <col min="3846" max="3848" width="9.85546875" style="1" customWidth="1"/>
    <col min="3849" max="3849" width="13" style="1" customWidth="1"/>
    <col min="3850" max="3850" width="8.85546875" style="1" customWidth="1"/>
    <col min="3851" max="3851" width="9.7109375" style="1" bestFit="1" customWidth="1"/>
    <col min="3852" max="3853" width="9.28515625" style="1" customWidth="1"/>
    <col min="3854" max="4095" width="11.42578125" style="1"/>
    <col min="4096" max="4096" width="5.7109375" style="1" customWidth="1"/>
    <col min="4097" max="4097" width="24.7109375" style="1" customWidth="1"/>
    <col min="4098" max="4100" width="5.7109375" style="1" customWidth="1"/>
    <col min="4101" max="4101" width="7.42578125" style="1" customWidth="1"/>
    <col min="4102" max="4104" width="9.85546875" style="1" customWidth="1"/>
    <col min="4105" max="4105" width="13" style="1" customWidth="1"/>
    <col min="4106" max="4106" width="8.85546875" style="1" customWidth="1"/>
    <col min="4107" max="4107" width="9.7109375" style="1" bestFit="1" customWidth="1"/>
    <col min="4108" max="4109" width="9.28515625" style="1" customWidth="1"/>
    <col min="4110" max="4351" width="11.42578125" style="1"/>
    <col min="4352" max="4352" width="5.7109375" style="1" customWidth="1"/>
    <col min="4353" max="4353" width="24.7109375" style="1" customWidth="1"/>
    <col min="4354" max="4356" width="5.7109375" style="1" customWidth="1"/>
    <col min="4357" max="4357" width="7.42578125" style="1" customWidth="1"/>
    <col min="4358" max="4360" width="9.85546875" style="1" customWidth="1"/>
    <col min="4361" max="4361" width="13" style="1" customWidth="1"/>
    <col min="4362" max="4362" width="8.85546875" style="1" customWidth="1"/>
    <col min="4363" max="4363" width="9.7109375" style="1" bestFit="1" customWidth="1"/>
    <col min="4364" max="4365" width="9.28515625" style="1" customWidth="1"/>
    <col min="4366" max="4607" width="11.42578125" style="1"/>
    <col min="4608" max="4608" width="5.7109375" style="1" customWidth="1"/>
    <col min="4609" max="4609" width="24.7109375" style="1" customWidth="1"/>
    <col min="4610" max="4612" width="5.7109375" style="1" customWidth="1"/>
    <col min="4613" max="4613" width="7.42578125" style="1" customWidth="1"/>
    <col min="4614" max="4616" width="9.85546875" style="1" customWidth="1"/>
    <col min="4617" max="4617" width="13" style="1" customWidth="1"/>
    <col min="4618" max="4618" width="8.85546875" style="1" customWidth="1"/>
    <col min="4619" max="4619" width="9.7109375" style="1" bestFit="1" customWidth="1"/>
    <col min="4620" max="4621" width="9.28515625" style="1" customWidth="1"/>
    <col min="4622" max="4863" width="11.42578125" style="1"/>
    <col min="4864" max="4864" width="5.7109375" style="1" customWidth="1"/>
    <col min="4865" max="4865" width="24.7109375" style="1" customWidth="1"/>
    <col min="4866" max="4868" width="5.7109375" style="1" customWidth="1"/>
    <col min="4869" max="4869" width="7.42578125" style="1" customWidth="1"/>
    <col min="4870" max="4872" width="9.85546875" style="1" customWidth="1"/>
    <col min="4873" max="4873" width="13" style="1" customWidth="1"/>
    <col min="4874" max="4874" width="8.85546875" style="1" customWidth="1"/>
    <col min="4875" max="4875" width="9.7109375" style="1" bestFit="1" customWidth="1"/>
    <col min="4876" max="4877" width="9.28515625" style="1" customWidth="1"/>
    <col min="4878" max="5119" width="11.42578125" style="1"/>
    <col min="5120" max="5120" width="5.7109375" style="1" customWidth="1"/>
    <col min="5121" max="5121" width="24.7109375" style="1" customWidth="1"/>
    <col min="5122" max="5124" width="5.7109375" style="1" customWidth="1"/>
    <col min="5125" max="5125" width="7.42578125" style="1" customWidth="1"/>
    <col min="5126" max="5128" width="9.85546875" style="1" customWidth="1"/>
    <col min="5129" max="5129" width="13" style="1" customWidth="1"/>
    <col min="5130" max="5130" width="8.85546875" style="1" customWidth="1"/>
    <col min="5131" max="5131" width="9.7109375" style="1" bestFit="1" customWidth="1"/>
    <col min="5132" max="5133" width="9.28515625" style="1" customWidth="1"/>
    <col min="5134" max="5375" width="11.42578125" style="1"/>
    <col min="5376" max="5376" width="5.7109375" style="1" customWidth="1"/>
    <col min="5377" max="5377" width="24.7109375" style="1" customWidth="1"/>
    <col min="5378" max="5380" width="5.7109375" style="1" customWidth="1"/>
    <col min="5381" max="5381" width="7.42578125" style="1" customWidth="1"/>
    <col min="5382" max="5384" width="9.85546875" style="1" customWidth="1"/>
    <col min="5385" max="5385" width="13" style="1" customWidth="1"/>
    <col min="5386" max="5386" width="8.85546875" style="1" customWidth="1"/>
    <col min="5387" max="5387" width="9.7109375" style="1" bestFit="1" customWidth="1"/>
    <col min="5388" max="5389" width="9.28515625" style="1" customWidth="1"/>
    <col min="5390" max="5631" width="11.42578125" style="1"/>
    <col min="5632" max="5632" width="5.7109375" style="1" customWidth="1"/>
    <col min="5633" max="5633" width="24.7109375" style="1" customWidth="1"/>
    <col min="5634" max="5636" width="5.7109375" style="1" customWidth="1"/>
    <col min="5637" max="5637" width="7.42578125" style="1" customWidth="1"/>
    <col min="5638" max="5640" width="9.85546875" style="1" customWidth="1"/>
    <col min="5641" max="5641" width="13" style="1" customWidth="1"/>
    <col min="5642" max="5642" width="8.85546875" style="1" customWidth="1"/>
    <col min="5643" max="5643" width="9.7109375" style="1" bestFit="1" customWidth="1"/>
    <col min="5644" max="5645" width="9.28515625" style="1" customWidth="1"/>
    <col min="5646" max="5887" width="11.42578125" style="1"/>
    <col min="5888" max="5888" width="5.7109375" style="1" customWidth="1"/>
    <col min="5889" max="5889" width="24.7109375" style="1" customWidth="1"/>
    <col min="5890" max="5892" width="5.7109375" style="1" customWidth="1"/>
    <col min="5893" max="5893" width="7.42578125" style="1" customWidth="1"/>
    <col min="5894" max="5896" width="9.85546875" style="1" customWidth="1"/>
    <col min="5897" max="5897" width="13" style="1" customWidth="1"/>
    <col min="5898" max="5898" width="8.85546875" style="1" customWidth="1"/>
    <col min="5899" max="5899" width="9.7109375" style="1" bestFit="1" customWidth="1"/>
    <col min="5900" max="5901" width="9.28515625" style="1" customWidth="1"/>
    <col min="5902" max="6143" width="11.42578125" style="1"/>
    <col min="6144" max="6144" width="5.7109375" style="1" customWidth="1"/>
    <col min="6145" max="6145" width="24.7109375" style="1" customWidth="1"/>
    <col min="6146" max="6148" width="5.7109375" style="1" customWidth="1"/>
    <col min="6149" max="6149" width="7.42578125" style="1" customWidth="1"/>
    <col min="6150" max="6152" width="9.85546875" style="1" customWidth="1"/>
    <col min="6153" max="6153" width="13" style="1" customWidth="1"/>
    <col min="6154" max="6154" width="8.85546875" style="1" customWidth="1"/>
    <col min="6155" max="6155" width="9.7109375" style="1" bestFit="1" customWidth="1"/>
    <col min="6156" max="6157" width="9.28515625" style="1" customWidth="1"/>
    <col min="6158" max="6399" width="11.42578125" style="1"/>
    <col min="6400" max="6400" width="5.7109375" style="1" customWidth="1"/>
    <col min="6401" max="6401" width="24.7109375" style="1" customWidth="1"/>
    <col min="6402" max="6404" width="5.7109375" style="1" customWidth="1"/>
    <col min="6405" max="6405" width="7.42578125" style="1" customWidth="1"/>
    <col min="6406" max="6408" width="9.85546875" style="1" customWidth="1"/>
    <col min="6409" max="6409" width="13" style="1" customWidth="1"/>
    <col min="6410" max="6410" width="8.85546875" style="1" customWidth="1"/>
    <col min="6411" max="6411" width="9.7109375" style="1" bestFit="1" customWidth="1"/>
    <col min="6412" max="6413" width="9.28515625" style="1" customWidth="1"/>
    <col min="6414" max="6655" width="11.42578125" style="1"/>
    <col min="6656" max="6656" width="5.7109375" style="1" customWidth="1"/>
    <col min="6657" max="6657" width="24.7109375" style="1" customWidth="1"/>
    <col min="6658" max="6660" width="5.7109375" style="1" customWidth="1"/>
    <col min="6661" max="6661" width="7.42578125" style="1" customWidth="1"/>
    <col min="6662" max="6664" width="9.85546875" style="1" customWidth="1"/>
    <col min="6665" max="6665" width="13" style="1" customWidth="1"/>
    <col min="6666" max="6666" width="8.85546875" style="1" customWidth="1"/>
    <col min="6667" max="6667" width="9.7109375" style="1" bestFit="1" customWidth="1"/>
    <col min="6668" max="6669" width="9.28515625" style="1" customWidth="1"/>
    <col min="6670" max="6911" width="11.42578125" style="1"/>
    <col min="6912" max="6912" width="5.7109375" style="1" customWidth="1"/>
    <col min="6913" max="6913" width="24.7109375" style="1" customWidth="1"/>
    <col min="6914" max="6916" width="5.7109375" style="1" customWidth="1"/>
    <col min="6917" max="6917" width="7.42578125" style="1" customWidth="1"/>
    <col min="6918" max="6920" width="9.85546875" style="1" customWidth="1"/>
    <col min="6921" max="6921" width="13" style="1" customWidth="1"/>
    <col min="6922" max="6922" width="8.85546875" style="1" customWidth="1"/>
    <col min="6923" max="6923" width="9.7109375" style="1" bestFit="1" customWidth="1"/>
    <col min="6924" max="6925" width="9.28515625" style="1" customWidth="1"/>
    <col min="6926" max="7167" width="11.42578125" style="1"/>
    <col min="7168" max="7168" width="5.7109375" style="1" customWidth="1"/>
    <col min="7169" max="7169" width="24.7109375" style="1" customWidth="1"/>
    <col min="7170" max="7172" width="5.7109375" style="1" customWidth="1"/>
    <col min="7173" max="7173" width="7.42578125" style="1" customWidth="1"/>
    <col min="7174" max="7176" width="9.85546875" style="1" customWidth="1"/>
    <col min="7177" max="7177" width="13" style="1" customWidth="1"/>
    <col min="7178" max="7178" width="8.85546875" style="1" customWidth="1"/>
    <col min="7179" max="7179" width="9.7109375" style="1" bestFit="1" customWidth="1"/>
    <col min="7180" max="7181" width="9.28515625" style="1" customWidth="1"/>
    <col min="7182" max="7423" width="11.42578125" style="1"/>
    <col min="7424" max="7424" width="5.7109375" style="1" customWidth="1"/>
    <col min="7425" max="7425" width="24.7109375" style="1" customWidth="1"/>
    <col min="7426" max="7428" width="5.7109375" style="1" customWidth="1"/>
    <col min="7429" max="7429" width="7.42578125" style="1" customWidth="1"/>
    <col min="7430" max="7432" width="9.85546875" style="1" customWidth="1"/>
    <col min="7433" max="7433" width="13" style="1" customWidth="1"/>
    <col min="7434" max="7434" width="8.85546875" style="1" customWidth="1"/>
    <col min="7435" max="7435" width="9.7109375" style="1" bestFit="1" customWidth="1"/>
    <col min="7436" max="7437" width="9.28515625" style="1" customWidth="1"/>
    <col min="7438" max="7679" width="11.42578125" style="1"/>
    <col min="7680" max="7680" width="5.7109375" style="1" customWidth="1"/>
    <col min="7681" max="7681" width="24.7109375" style="1" customWidth="1"/>
    <col min="7682" max="7684" width="5.7109375" style="1" customWidth="1"/>
    <col min="7685" max="7685" width="7.42578125" style="1" customWidth="1"/>
    <col min="7686" max="7688" width="9.85546875" style="1" customWidth="1"/>
    <col min="7689" max="7689" width="13" style="1" customWidth="1"/>
    <col min="7690" max="7690" width="8.85546875" style="1" customWidth="1"/>
    <col min="7691" max="7691" width="9.7109375" style="1" bestFit="1" customWidth="1"/>
    <col min="7692" max="7693" width="9.28515625" style="1" customWidth="1"/>
    <col min="7694" max="7935" width="11.42578125" style="1"/>
    <col min="7936" max="7936" width="5.7109375" style="1" customWidth="1"/>
    <col min="7937" max="7937" width="24.7109375" style="1" customWidth="1"/>
    <col min="7938" max="7940" width="5.7109375" style="1" customWidth="1"/>
    <col min="7941" max="7941" width="7.42578125" style="1" customWidth="1"/>
    <col min="7942" max="7944" width="9.85546875" style="1" customWidth="1"/>
    <col min="7945" max="7945" width="13" style="1" customWidth="1"/>
    <col min="7946" max="7946" width="8.85546875" style="1" customWidth="1"/>
    <col min="7947" max="7947" width="9.7109375" style="1" bestFit="1" customWidth="1"/>
    <col min="7948" max="7949" width="9.28515625" style="1" customWidth="1"/>
    <col min="7950" max="8191" width="11.42578125" style="1"/>
    <col min="8192" max="8192" width="5.7109375" style="1" customWidth="1"/>
    <col min="8193" max="8193" width="24.7109375" style="1" customWidth="1"/>
    <col min="8194" max="8196" width="5.7109375" style="1" customWidth="1"/>
    <col min="8197" max="8197" width="7.42578125" style="1" customWidth="1"/>
    <col min="8198" max="8200" width="9.85546875" style="1" customWidth="1"/>
    <col min="8201" max="8201" width="13" style="1" customWidth="1"/>
    <col min="8202" max="8202" width="8.85546875" style="1" customWidth="1"/>
    <col min="8203" max="8203" width="9.7109375" style="1" bestFit="1" customWidth="1"/>
    <col min="8204" max="8205" width="9.28515625" style="1" customWidth="1"/>
    <col min="8206" max="8447" width="11.42578125" style="1"/>
    <col min="8448" max="8448" width="5.7109375" style="1" customWidth="1"/>
    <col min="8449" max="8449" width="24.7109375" style="1" customWidth="1"/>
    <col min="8450" max="8452" width="5.7109375" style="1" customWidth="1"/>
    <col min="8453" max="8453" width="7.42578125" style="1" customWidth="1"/>
    <col min="8454" max="8456" width="9.85546875" style="1" customWidth="1"/>
    <col min="8457" max="8457" width="13" style="1" customWidth="1"/>
    <col min="8458" max="8458" width="8.85546875" style="1" customWidth="1"/>
    <col min="8459" max="8459" width="9.7109375" style="1" bestFit="1" customWidth="1"/>
    <col min="8460" max="8461" width="9.28515625" style="1" customWidth="1"/>
    <col min="8462" max="8703" width="11.42578125" style="1"/>
    <col min="8704" max="8704" width="5.7109375" style="1" customWidth="1"/>
    <col min="8705" max="8705" width="24.7109375" style="1" customWidth="1"/>
    <col min="8706" max="8708" width="5.7109375" style="1" customWidth="1"/>
    <col min="8709" max="8709" width="7.42578125" style="1" customWidth="1"/>
    <col min="8710" max="8712" width="9.85546875" style="1" customWidth="1"/>
    <col min="8713" max="8713" width="13" style="1" customWidth="1"/>
    <col min="8714" max="8714" width="8.85546875" style="1" customWidth="1"/>
    <col min="8715" max="8715" width="9.7109375" style="1" bestFit="1" customWidth="1"/>
    <col min="8716" max="8717" width="9.28515625" style="1" customWidth="1"/>
    <col min="8718" max="8959" width="11.42578125" style="1"/>
    <col min="8960" max="8960" width="5.7109375" style="1" customWidth="1"/>
    <col min="8961" max="8961" width="24.7109375" style="1" customWidth="1"/>
    <col min="8962" max="8964" width="5.7109375" style="1" customWidth="1"/>
    <col min="8965" max="8965" width="7.42578125" style="1" customWidth="1"/>
    <col min="8966" max="8968" width="9.85546875" style="1" customWidth="1"/>
    <col min="8969" max="8969" width="13" style="1" customWidth="1"/>
    <col min="8970" max="8970" width="8.85546875" style="1" customWidth="1"/>
    <col min="8971" max="8971" width="9.7109375" style="1" bestFit="1" customWidth="1"/>
    <col min="8972" max="8973" width="9.28515625" style="1" customWidth="1"/>
    <col min="8974" max="9215" width="11.42578125" style="1"/>
    <col min="9216" max="9216" width="5.7109375" style="1" customWidth="1"/>
    <col min="9217" max="9217" width="24.7109375" style="1" customWidth="1"/>
    <col min="9218" max="9220" width="5.7109375" style="1" customWidth="1"/>
    <col min="9221" max="9221" width="7.42578125" style="1" customWidth="1"/>
    <col min="9222" max="9224" width="9.85546875" style="1" customWidth="1"/>
    <col min="9225" max="9225" width="13" style="1" customWidth="1"/>
    <col min="9226" max="9226" width="8.85546875" style="1" customWidth="1"/>
    <col min="9227" max="9227" width="9.7109375" style="1" bestFit="1" customWidth="1"/>
    <col min="9228" max="9229" width="9.28515625" style="1" customWidth="1"/>
    <col min="9230" max="9471" width="11.42578125" style="1"/>
    <col min="9472" max="9472" width="5.7109375" style="1" customWidth="1"/>
    <col min="9473" max="9473" width="24.7109375" style="1" customWidth="1"/>
    <col min="9474" max="9476" width="5.7109375" style="1" customWidth="1"/>
    <col min="9477" max="9477" width="7.42578125" style="1" customWidth="1"/>
    <col min="9478" max="9480" width="9.85546875" style="1" customWidth="1"/>
    <col min="9481" max="9481" width="13" style="1" customWidth="1"/>
    <col min="9482" max="9482" width="8.85546875" style="1" customWidth="1"/>
    <col min="9483" max="9483" width="9.7109375" style="1" bestFit="1" customWidth="1"/>
    <col min="9484" max="9485" width="9.28515625" style="1" customWidth="1"/>
    <col min="9486" max="9727" width="11.42578125" style="1"/>
    <col min="9728" max="9728" width="5.7109375" style="1" customWidth="1"/>
    <col min="9729" max="9729" width="24.7109375" style="1" customWidth="1"/>
    <col min="9730" max="9732" width="5.7109375" style="1" customWidth="1"/>
    <col min="9733" max="9733" width="7.42578125" style="1" customWidth="1"/>
    <col min="9734" max="9736" width="9.85546875" style="1" customWidth="1"/>
    <col min="9737" max="9737" width="13" style="1" customWidth="1"/>
    <col min="9738" max="9738" width="8.85546875" style="1" customWidth="1"/>
    <col min="9739" max="9739" width="9.7109375" style="1" bestFit="1" customWidth="1"/>
    <col min="9740" max="9741" width="9.28515625" style="1" customWidth="1"/>
    <col min="9742" max="9983" width="11.42578125" style="1"/>
    <col min="9984" max="9984" width="5.7109375" style="1" customWidth="1"/>
    <col min="9985" max="9985" width="24.7109375" style="1" customWidth="1"/>
    <col min="9986" max="9988" width="5.7109375" style="1" customWidth="1"/>
    <col min="9989" max="9989" width="7.42578125" style="1" customWidth="1"/>
    <col min="9990" max="9992" width="9.85546875" style="1" customWidth="1"/>
    <col min="9993" max="9993" width="13" style="1" customWidth="1"/>
    <col min="9994" max="9994" width="8.85546875" style="1" customWidth="1"/>
    <col min="9995" max="9995" width="9.7109375" style="1" bestFit="1" customWidth="1"/>
    <col min="9996" max="9997" width="9.28515625" style="1" customWidth="1"/>
    <col min="9998" max="10239" width="11.42578125" style="1"/>
    <col min="10240" max="10240" width="5.7109375" style="1" customWidth="1"/>
    <col min="10241" max="10241" width="24.7109375" style="1" customWidth="1"/>
    <col min="10242" max="10244" width="5.7109375" style="1" customWidth="1"/>
    <col min="10245" max="10245" width="7.42578125" style="1" customWidth="1"/>
    <col min="10246" max="10248" width="9.85546875" style="1" customWidth="1"/>
    <col min="10249" max="10249" width="13" style="1" customWidth="1"/>
    <col min="10250" max="10250" width="8.85546875" style="1" customWidth="1"/>
    <col min="10251" max="10251" width="9.7109375" style="1" bestFit="1" customWidth="1"/>
    <col min="10252" max="10253" width="9.28515625" style="1" customWidth="1"/>
    <col min="10254" max="10495" width="11.42578125" style="1"/>
    <col min="10496" max="10496" width="5.7109375" style="1" customWidth="1"/>
    <col min="10497" max="10497" width="24.7109375" style="1" customWidth="1"/>
    <col min="10498" max="10500" width="5.7109375" style="1" customWidth="1"/>
    <col min="10501" max="10501" width="7.42578125" style="1" customWidth="1"/>
    <col min="10502" max="10504" width="9.85546875" style="1" customWidth="1"/>
    <col min="10505" max="10505" width="13" style="1" customWidth="1"/>
    <col min="10506" max="10506" width="8.85546875" style="1" customWidth="1"/>
    <col min="10507" max="10507" width="9.7109375" style="1" bestFit="1" customWidth="1"/>
    <col min="10508" max="10509" width="9.28515625" style="1" customWidth="1"/>
    <col min="10510" max="10751" width="11.42578125" style="1"/>
    <col min="10752" max="10752" width="5.7109375" style="1" customWidth="1"/>
    <col min="10753" max="10753" width="24.7109375" style="1" customWidth="1"/>
    <col min="10754" max="10756" width="5.7109375" style="1" customWidth="1"/>
    <col min="10757" max="10757" width="7.42578125" style="1" customWidth="1"/>
    <col min="10758" max="10760" width="9.85546875" style="1" customWidth="1"/>
    <col min="10761" max="10761" width="13" style="1" customWidth="1"/>
    <col min="10762" max="10762" width="8.85546875" style="1" customWidth="1"/>
    <col min="10763" max="10763" width="9.7109375" style="1" bestFit="1" customWidth="1"/>
    <col min="10764" max="10765" width="9.28515625" style="1" customWidth="1"/>
    <col min="10766" max="11007" width="11.42578125" style="1"/>
    <col min="11008" max="11008" width="5.7109375" style="1" customWidth="1"/>
    <col min="11009" max="11009" width="24.7109375" style="1" customWidth="1"/>
    <col min="11010" max="11012" width="5.7109375" style="1" customWidth="1"/>
    <col min="11013" max="11013" width="7.42578125" style="1" customWidth="1"/>
    <col min="11014" max="11016" width="9.85546875" style="1" customWidth="1"/>
    <col min="11017" max="11017" width="13" style="1" customWidth="1"/>
    <col min="11018" max="11018" width="8.85546875" style="1" customWidth="1"/>
    <col min="11019" max="11019" width="9.7109375" style="1" bestFit="1" customWidth="1"/>
    <col min="11020" max="11021" width="9.28515625" style="1" customWidth="1"/>
    <col min="11022" max="11263" width="11.42578125" style="1"/>
    <col min="11264" max="11264" width="5.7109375" style="1" customWidth="1"/>
    <col min="11265" max="11265" width="24.7109375" style="1" customWidth="1"/>
    <col min="11266" max="11268" width="5.7109375" style="1" customWidth="1"/>
    <col min="11269" max="11269" width="7.42578125" style="1" customWidth="1"/>
    <col min="11270" max="11272" width="9.85546875" style="1" customWidth="1"/>
    <col min="11273" max="11273" width="13" style="1" customWidth="1"/>
    <col min="11274" max="11274" width="8.85546875" style="1" customWidth="1"/>
    <col min="11275" max="11275" width="9.7109375" style="1" bestFit="1" customWidth="1"/>
    <col min="11276" max="11277" width="9.28515625" style="1" customWidth="1"/>
    <col min="11278" max="11519" width="11.42578125" style="1"/>
    <col min="11520" max="11520" width="5.7109375" style="1" customWidth="1"/>
    <col min="11521" max="11521" width="24.7109375" style="1" customWidth="1"/>
    <col min="11522" max="11524" width="5.7109375" style="1" customWidth="1"/>
    <col min="11525" max="11525" width="7.42578125" style="1" customWidth="1"/>
    <col min="11526" max="11528" width="9.85546875" style="1" customWidth="1"/>
    <col min="11529" max="11529" width="13" style="1" customWidth="1"/>
    <col min="11530" max="11530" width="8.85546875" style="1" customWidth="1"/>
    <col min="11531" max="11531" width="9.7109375" style="1" bestFit="1" customWidth="1"/>
    <col min="11532" max="11533" width="9.28515625" style="1" customWidth="1"/>
    <col min="11534" max="11775" width="11.42578125" style="1"/>
    <col min="11776" max="11776" width="5.7109375" style="1" customWidth="1"/>
    <col min="11777" max="11777" width="24.7109375" style="1" customWidth="1"/>
    <col min="11778" max="11780" width="5.7109375" style="1" customWidth="1"/>
    <col min="11781" max="11781" width="7.42578125" style="1" customWidth="1"/>
    <col min="11782" max="11784" width="9.85546875" style="1" customWidth="1"/>
    <col min="11785" max="11785" width="13" style="1" customWidth="1"/>
    <col min="11786" max="11786" width="8.85546875" style="1" customWidth="1"/>
    <col min="11787" max="11787" width="9.7109375" style="1" bestFit="1" customWidth="1"/>
    <col min="11788" max="11789" width="9.28515625" style="1" customWidth="1"/>
    <col min="11790" max="12031" width="11.42578125" style="1"/>
    <col min="12032" max="12032" width="5.7109375" style="1" customWidth="1"/>
    <col min="12033" max="12033" width="24.7109375" style="1" customWidth="1"/>
    <col min="12034" max="12036" width="5.7109375" style="1" customWidth="1"/>
    <col min="12037" max="12037" width="7.42578125" style="1" customWidth="1"/>
    <col min="12038" max="12040" width="9.85546875" style="1" customWidth="1"/>
    <col min="12041" max="12041" width="13" style="1" customWidth="1"/>
    <col min="12042" max="12042" width="8.85546875" style="1" customWidth="1"/>
    <col min="12043" max="12043" width="9.7109375" style="1" bestFit="1" customWidth="1"/>
    <col min="12044" max="12045" width="9.28515625" style="1" customWidth="1"/>
    <col min="12046" max="12287" width="11.42578125" style="1"/>
    <col min="12288" max="12288" width="5.7109375" style="1" customWidth="1"/>
    <col min="12289" max="12289" width="24.7109375" style="1" customWidth="1"/>
    <col min="12290" max="12292" width="5.7109375" style="1" customWidth="1"/>
    <col min="12293" max="12293" width="7.42578125" style="1" customWidth="1"/>
    <col min="12294" max="12296" width="9.85546875" style="1" customWidth="1"/>
    <col min="12297" max="12297" width="13" style="1" customWidth="1"/>
    <col min="12298" max="12298" width="8.85546875" style="1" customWidth="1"/>
    <col min="12299" max="12299" width="9.7109375" style="1" bestFit="1" customWidth="1"/>
    <col min="12300" max="12301" width="9.28515625" style="1" customWidth="1"/>
    <col min="12302" max="12543" width="11.42578125" style="1"/>
    <col min="12544" max="12544" width="5.7109375" style="1" customWidth="1"/>
    <col min="12545" max="12545" width="24.7109375" style="1" customWidth="1"/>
    <col min="12546" max="12548" width="5.7109375" style="1" customWidth="1"/>
    <col min="12549" max="12549" width="7.42578125" style="1" customWidth="1"/>
    <col min="12550" max="12552" width="9.85546875" style="1" customWidth="1"/>
    <col min="12553" max="12553" width="13" style="1" customWidth="1"/>
    <col min="12554" max="12554" width="8.85546875" style="1" customWidth="1"/>
    <col min="12555" max="12555" width="9.7109375" style="1" bestFit="1" customWidth="1"/>
    <col min="12556" max="12557" width="9.28515625" style="1" customWidth="1"/>
    <col min="12558" max="12799" width="11.42578125" style="1"/>
    <col min="12800" max="12800" width="5.7109375" style="1" customWidth="1"/>
    <col min="12801" max="12801" width="24.7109375" style="1" customWidth="1"/>
    <col min="12802" max="12804" width="5.7109375" style="1" customWidth="1"/>
    <col min="12805" max="12805" width="7.42578125" style="1" customWidth="1"/>
    <col min="12806" max="12808" width="9.85546875" style="1" customWidth="1"/>
    <col min="12809" max="12809" width="13" style="1" customWidth="1"/>
    <col min="12810" max="12810" width="8.85546875" style="1" customWidth="1"/>
    <col min="12811" max="12811" width="9.7109375" style="1" bestFit="1" customWidth="1"/>
    <col min="12812" max="12813" width="9.28515625" style="1" customWidth="1"/>
    <col min="12814" max="13055" width="11.42578125" style="1"/>
    <col min="13056" max="13056" width="5.7109375" style="1" customWidth="1"/>
    <col min="13057" max="13057" width="24.7109375" style="1" customWidth="1"/>
    <col min="13058" max="13060" width="5.7109375" style="1" customWidth="1"/>
    <col min="13061" max="13061" width="7.42578125" style="1" customWidth="1"/>
    <col min="13062" max="13064" width="9.85546875" style="1" customWidth="1"/>
    <col min="13065" max="13065" width="13" style="1" customWidth="1"/>
    <col min="13066" max="13066" width="8.85546875" style="1" customWidth="1"/>
    <col min="13067" max="13067" width="9.7109375" style="1" bestFit="1" customWidth="1"/>
    <col min="13068" max="13069" width="9.28515625" style="1" customWidth="1"/>
    <col min="13070" max="13311" width="11.42578125" style="1"/>
    <col min="13312" max="13312" width="5.7109375" style="1" customWidth="1"/>
    <col min="13313" max="13313" width="24.7109375" style="1" customWidth="1"/>
    <col min="13314" max="13316" width="5.7109375" style="1" customWidth="1"/>
    <col min="13317" max="13317" width="7.42578125" style="1" customWidth="1"/>
    <col min="13318" max="13320" width="9.85546875" style="1" customWidth="1"/>
    <col min="13321" max="13321" width="13" style="1" customWidth="1"/>
    <col min="13322" max="13322" width="8.85546875" style="1" customWidth="1"/>
    <col min="13323" max="13323" width="9.7109375" style="1" bestFit="1" customWidth="1"/>
    <col min="13324" max="13325" width="9.28515625" style="1" customWidth="1"/>
    <col min="13326" max="13567" width="11.42578125" style="1"/>
    <col min="13568" max="13568" width="5.7109375" style="1" customWidth="1"/>
    <col min="13569" max="13569" width="24.7109375" style="1" customWidth="1"/>
    <col min="13570" max="13572" width="5.7109375" style="1" customWidth="1"/>
    <col min="13573" max="13573" width="7.42578125" style="1" customWidth="1"/>
    <col min="13574" max="13576" width="9.85546875" style="1" customWidth="1"/>
    <col min="13577" max="13577" width="13" style="1" customWidth="1"/>
    <col min="13578" max="13578" width="8.85546875" style="1" customWidth="1"/>
    <col min="13579" max="13579" width="9.7109375" style="1" bestFit="1" customWidth="1"/>
    <col min="13580" max="13581" width="9.28515625" style="1" customWidth="1"/>
    <col min="13582" max="13823" width="11.42578125" style="1"/>
    <col min="13824" max="13824" width="5.7109375" style="1" customWidth="1"/>
    <col min="13825" max="13825" width="24.7109375" style="1" customWidth="1"/>
    <col min="13826" max="13828" width="5.7109375" style="1" customWidth="1"/>
    <col min="13829" max="13829" width="7.42578125" style="1" customWidth="1"/>
    <col min="13830" max="13832" width="9.85546875" style="1" customWidth="1"/>
    <col min="13833" max="13833" width="13" style="1" customWidth="1"/>
    <col min="13834" max="13834" width="8.85546875" style="1" customWidth="1"/>
    <col min="13835" max="13835" width="9.7109375" style="1" bestFit="1" customWidth="1"/>
    <col min="13836" max="13837" width="9.28515625" style="1" customWidth="1"/>
    <col min="13838" max="14079" width="11.42578125" style="1"/>
    <col min="14080" max="14080" width="5.7109375" style="1" customWidth="1"/>
    <col min="14081" max="14081" width="24.7109375" style="1" customWidth="1"/>
    <col min="14082" max="14084" width="5.7109375" style="1" customWidth="1"/>
    <col min="14085" max="14085" width="7.42578125" style="1" customWidth="1"/>
    <col min="14086" max="14088" width="9.85546875" style="1" customWidth="1"/>
    <col min="14089" max="14089" width="13" style="1" customWidth="1"/>
    <col min="14090" max="14090" width="8.85546875" style="1" customWidth="1"/>
    <col min="14091" max="14091" width="9.7109375" style="1" bestFit="1" customWidth="1"/>
    <col min="14092" max="14093" width="9.28515625" style="1" customWidth="1"/>
    <col min="14094" max="14335" width="11.42578125" style="1"/>
    <col min="14336" max="14336" width="5.7109375" style="1" customWidth="1"/>
    <col min="14337" max="14337" width="24.7109375" style="1" customWidth="1"/>
    <col min="14338" max="14340" width="5.7109375" style="1" customWidth="1"/>
    <col min="14341" max="14341" width="7.42578125" style="1" customWidth="1"/>
    <col min="14342" max="14344" width="9.85546875" style="1" customWidth="1"/>
    <col min="14345" max="14345" width="13" style="1" customWidth="1"/>
    <col min="14346" max="14346" width="8.85546875" style="1" customWidth="1"/>
    <col min="14347" max="14347" width="9.7109375" style="1" bestFit="1" customWidth="1"/>
    <col min="14348" max="14349" width="9.28515625" style="1" customWidth="1"/>
    <col min="14350" max="14591" width="11.42578125" style="1"/>
    <col min="14592" max="14592" width="5.7109375" style="1" customWidth="1"/>
    <col min="14593" max="14593" width="24.7109375" style="1" customWidth="1"/>
    <col min="14594" max="14596" width="5.7109375" style="1" customWidth="1"/>
    <col min="14597" max="14597" width="7.42578125" style="1" customWidth="1"/>
    <col min="14598" max="14600" width="9.85546875" style="1" customWidth="1"/>
    <col min="14601" max="14601" width="13" style="1" customWidth="1"/>
    <col min="14602" max="14602" width="8.85546875" style="1" customWidth="1"/>
    <col min="14603" max="14603" width="9.7109375" style="1" bestFit="1" customWidth="1"/>
    <col min="14604" max="14605" width="9.28515625" style="1" customWidth="1"/>
    <col min="14606" max="14847" width="11.42578125" style="1"/>
    <col min="14848" max="14848" width="5.7109375" style="1" customWidth="1"/>
    <col min="14849" max="14849" width="24.7109375" style="1" customWidth="1"/>
    <col min="14850" max="14852" width="5.7109375" style="1" customWidth="1"/>
    <col min="14853" max="14853" width="7.42578125" style="1" customWidth="1"/>
    <col min="14854" max="14856" width="9.85546875" style="1" customWidth="1"/>
    <col min="14857" max="14857" width="13" style="1" customWidth="1"/>
    <col min="14858" max="14858" width="8.85546875" style="1" customWidth="1"/>
    <col min="14859" max="14859" width="9.7109375" style="1" bestFit="1" customWidth="1"/>
    <col min="14860" max="14861" width="9.28515625" style="1" customWidth="1"/>
    <col min="14862" max="15103" width="11.42578125" style="1"/>
    <col min="15104" max="15104" width="5.7109375" style="1" customWidth="1"/>
    <col min="15105" max="15105" width="24.7109375" style="1" customWidth="1"/>
    <col min="15106" max="15108" width="5.7109375" style="1" customWidth="1"/>
    <col min="15109" max="15109" width="7.42578125" style="1" customWidth="1"/>
    <col min="15110" max="15112" width="9.85546875" style="1" customWidth="1"/>
    <col min="15113" max="15113" width="13" style="1" customWidth="1"/>
    <col min="15114" max="15114" width="8.85546875" style="1" customWidth="1"/>
    <col min="15115" max="15115" width="9.7109375" style="1" bestFit="1" customWidth="1"/>
    <col min="15116" max="15117" width="9.28515625" style="1" customWidth="1"/>
    <col min="15118" max="15359" width="11.42578125" style="1"/>
    <col min="15360" max="15360" width="5.7109375" style="1" customWidth="1"/>
    <col min="15361" max="15361" width="24.7109375" style="1" customWidth="1"/>
    <col min="15362" max="15364" width="5.7109375" style="1" customWidth="1"/>
    <col min="15365" max="15365" width="7.42578125" style="1" customWidth="1"/>
    <col min="15366" max="15368" width="9.85546875" style="1" customWidth="1"/>
    <col min="15369" max="15369" width="13" style="1" customWidth="1"/>
    <col min="15370" max="15370" width="8.85546875" style="1" customWidth="1"/>
    <col min="15371" max="15371" width="9.7109375" style="1" bestFit="1" customWidth="1"/>
    <col min="15372" max="15373" width="9.28515625" style="1" customWidth="1"/>
    <col min="15374" max="15615" width="11.42578125" style="1"/>
    <col min="15616" max="15616" width="5.7109375" style="1" customWidth="1"/>
    <col min="15617" max="15617" width="24.7109375" style="1" customWidth="1"/>
    <col min="15618" max="15620" width="5.7109375" style="1" customWidth="1"/>
    <col min="15621" max="15621" width="7.42578125" style="1" customWidth="1"/>
    <col min="15622" max="15624" width="9.85546875" style="1" customWidth="1"/>
    <col min="15625" max="15625" width="13" style="1" customWidth="1"/>
    <col min="15626" max="15626" width="8.85546875" style="1" customWidth="1"/>
    <col min="15627" max="15627" width="9.7109375" style="1" bestFit="1" customWidth="1"/>
    <col min="15628" max="15629" width="9.28515625" style="1" customWidth="1"/>
    <col min="15630" max="15871" width="11.42578125" style="1"/>
    <col min="15872" max="15872" width="5.7109375" style="1" customWidth="1"/>
    <col min="15873" max="15873" width="24.7109375" style="1" customWidth="1"/>
    <col min="15874" max="15876" width="5.7109375" style="1" customWidth="1"/>
    <col min="15877" max="15877" width="7.42578125" style="1" customWidth="1"/>
    <col min="15878" max="15880" width="9.85546875" style="1" customWidth="1"/>
    <col min="15881" max="15881" width="13" style="1" customWidth="1"/>
    <col min="15882" max="15882" width="8.85546875" style="1" customWidth="1"/>
    <col min="15883" max="15883" width="9.7109375" style="1" bestFit="1" customWidth="1"/>
    <col min="15884" max="15885" width="9.28515625" style="1" customWidth="1"/>
    <col min="15886" max="16127" width="11.42578125" style="1"/>
    <col min="16128" max="16128" width="5.7109375" style="1" customWidth="1"/>
    <col min="16129" max="16129" width="24.7109375" style="1" customWidth="1"/>
    <col min="16130" max="16132" width="5.7109375" style="1" customWidth="1"/>
    <col min="16133" max="16133" width="7.42578125" style="1" customWidth="1"/>
    <col min="16134" max="16136" width="9.85546875" style="1" customWidth="1"/>
    <col min="16137" max="16137" width="13" style="1" customWidth="1"/>
    <col min="16138" max="16138" width="8.85546875" style="1" customWidth="1"/>
    <col min="16139" max="16139" width="9.7109375" style="1" bestFit="1" customWidth="1"/>
    <col min="16140" max="16141" width="9.28515625" style="1" customWidth="1"/>
    <col min="16142" max="16384" width="11.42578125" style="1"/>
  </cols>
  <sheetData>
    <row r="1" spans="1:20" ht="31.5" customHeight="1" thickBot="1">
      <c r="A1" s="141"/>
      <c r="B1" s="448" t="s">
        <v>92</v>
      </c>
      <c r="C1" s="449"/>
      <c r="D1" s="449"/>
      <c r="E1" s="449"/>
      <c r="F1" s="449"/>
      <c r="G1" s="449"/>
      <c r="H1" s="449"/>
      <c r="I1" s="449"/>
      <c r="J1" s="449"/>
      <c r="K1" s="450"/>
      <c r="L1" s="141"/>
      <c r="M1" s="141"/>
      <c r="N1" s="141"/>
    </row>
    <row r="2" spans="1:20" ht="31.5" customHeight="1" thickBot="1">
      <c r="B2" s="146"/>
      <c r="C2" s="485" t="str">
        <f>'1A_G'!C2</f>
        <v>M3      Journée  18 Equipes</v>
      </c>
      <c r="D2" s="486"/>
      <c r="E2" s="486"/>
      <c r="F2" s="486"/>
      <c r="G2" s="486"/>
      <c r="H2" s="486"/>
      <c r="I2" s="486"/>
      <c r="J2" s="486"/>
      <c r="K2" s="486"/>
      <c r="L2" s="487"/>
      <c r="M2" s="146"/>
      <c r="N2" s="146"/>
      <c r="O2" s="146"/>
    </row>
    <row r="3" spans="1:20" ht="31.5" customHeight="1" thickBot="1">
      <c r="A3" s="476"/>
      <c r="B3" s="476"/>
      <c r="C3" s="488" t="str">
        <f>'1A_F'!K2</f>
        <v>Samedi 14/09/2024</v>
      </c>
      <c r="D3" s="489"/>
      <c r="E3" s="489"/>
      <c r="F3" s="489"/>
      <c r="G3" s="490"/>
      <c r="L3" s="477" t="str">
        <f>'1A_F'!K1</f>
        <v>ALISSAS</v>
      </c>
      <c r="M3" s="478"/>
      <c r="N3" s="478"/>
      <c r="O3" s="479"/>
    </row>
    <row r="4" spans="1:20" ht="31.5" customHeight="1" thickBot="1">
      <c r="B4" s="46"/>
      <c r="C4" s="480" t="s">
        <v>21</v>
      </c>
      <c r="D4" s="481"/>
      <c r="E4" s="481"/>
      <c r="F4" s="481"/>
      <c r="G4" s="481"/>
      <c r="H4" s="481"/>
      <c r="I4" s="481"/>
      <c r="J4" s="481"/>
      <c r="K4" s="482"/>
      <c r="L4" s="483" t="s">
        <v>22</v>
      </c>
      <c r="M4" s="481"/>
      <c r="N4" s="481"/>
      <c r="O4" s="484"/>
    </row>
    <row r="5" spans="1:20" ht="31.5" customHeight="1" thickBot="1">
      <c r="B5" s="46"/>
      <c r="C5" s="47" t="s">
        <v>23</v>
      </c>
      <c r="D5" s="48" t="s">
        <v>24</v>
      </c>
      <c r="E5" s="48" t="s">
        <v>25</v>
      </c>
      <c r="F5" s="49" t="s">
        <v>26</v>
      </c>
      <c r="G5" s="49" t="s">
        <v>27</v>
      </c>
      <c r="H5" s="49" t="s">
        <v>28</v>
      </c>
      <c r="I5" s="49" t="s">
        <v>29</v>
      </c>
      <c r="J5" s="48" t="s">
        <v>30</v>
      </c>
      <c r="K5" s="48" t="s">
        <v>31</v>
      </c>
      <c r="L5" s="50" t="s">
        <v>32</v>
      </c>
      <c r="M5" s="48" t="s">
        <v>33</v>
      </c>
      <c r="N5" s="51" t="s">
        <v>34</v>
      </c>
      <c r="O5" s="51" t="s">
        <v>35</v>
      </c>
      <c r="P5" s="314" t="s">
        <v>94</v>
      </c>
    </row>
    <row r="6" spans="1:20" ht="7.9" customHeight="1" thickBot="1">
      <c r="P6" s="315"/>
      <c r="Q6"/>
      <c r="R6"/>
      <c r="S6"/>
    </row>
    <row r="7" spans="1:20" ht="24.95" customHeight="1">
      <c r="A7" s="469">
        <v>1</v>
      </c>
      <c r="B7" s="5" t="str">
        <f>'1A_G'!E7</f>
        <v>CHAMP Luc</v>
      </c>
      <c r="C7" s="52" t="str">
        <f>'1A_C.'!E18</f>
        <v/>
      </c>
      <c r="D7" s="52">
        <f>'1A_C.'!G18</f>
        <v>0</v>
      </c>
      <c r="E7" s="52" t="str">
        <f>'1A_C.'!I18</f>
        <v/>
      </c>
      <c r="F7" s="53" t="str">
        <f>IF((C7=""),"",SUM(C7:E7))</f>
        <v/>
      </c>
      <c r="G7" s="54">
        <f>'1A_C.'!L18</f>
        <v>0</v>
      </c>
      <c r="H7" s="52">
        <f>'1A_C.'!N18</f>
        <v>0</v>
      </c>
      <c r="I7" s="52" t="str">
        <f>IF((F7=""),"",(G7-H7))</f>
        <v/>
      </c>
      <c r="J7" s="52" t="str">
        <f>'1A_C.'!Y18</f>
        <v/>
      </c>
      <c r="K7" s="52">
        <f>IF((D7=""),"",IF((J7=1),6,IF((J7=2),4,IF((J7=3),2,0))))</f>
        <v>0</v>
      </c>
      <c r="L7" s="52" t="str">
        <f>IF((J7=""),"",IF(OR(J7=1,J7=4),"",IF(('1A_F'!$D$14=""),"",VLOOKUP(B7,'1A_C.'!$D$44:$E$51,2,0))))</f>
        <v/>
      </c>
      <c r="M7" s="52" t="str">
        <f>IF((J7=""),"",IF(OR(J7=2,J7=3,J7=4),"",IF(('1A_F'!$I$7=""),"",VLOOKUP(B7,'1A_C.'!$I$44:$J$47,2,0))))</f>
        <v/>
      </c>
      <c r="N7" s="52" t="str">
        <f>IF(OR(M7="",M7=0),"",VLOOKUP(B7,'1A_C.'!$N$44:$O$45,2,0))</f>
        <v/>
      </c>
      <c r="O7" s="52" t="str">
        <f>IF((E7=""),"",SUM(F7,K7,L7,M7,N7))</f>
        <v/>
      </c>
      <c r="P7" s="316">
        <v>1</v>
      </c>
      <c r="Q7"/>
      <c r="R7"/>
      <c r="S7"/>
      <c r="T7" s="100"/>
    </row>
    <row r="8" spans="1:20" ht="24.95" customHeight="1">
      <c r="A8" s="470"/>
      <c r="B8" s="55" t="str">
        <f>'1A_G'!E8</f>
        <v xml:space="preserve">CHOSSON Benjamin </v>
      </c>
      <c r="C8" s="56" t="str">
        <f>'1A_C.'!E19</f>
        <v/>
      </c>
      <c r="D8" s="56">
        <f>'1A_C.'!G19</f>
        <v>0</v>
      </c>
      <c r="E8" s="56" t="str">
        <f>'1A_C.'!I19</f>
        <v/>
      </c>
      <c r="F8" s="57" t="str">
        <f>IF((C8=""),"",SUM(C8:E8))</f>
        <v/>
      </c>
      <c r="G8" s="58">
        <f>'1A_C.'!L19</f>
        <v>0</v>
      </c>
      <c r="H8" s="56">
        <f>'1A_C.'!N19</f>
        <v>0</v>
      </c>
      <c r="I8" s="56" t="str">
        <f>IF((F8=""),"",(G8-H8))</f>
        <v/>
      </c>
      <c r="J8" s="56" t="str">
        <f>'1A_C.'!Y19</f>
        <v/>
      </c>
      <c r="K8" s="56">
        <f>IF((D8=""),"",IF((J8=1),6,IF((J8=2),4,IF((J8=3),2,0))))</f>
        <v>0</v>
      </c>
      <c r="L8" s="56" t="str">
        <f>IF((J8=""),"",IF(OR(J8=1,J8=4),"",IF(('1A_F'!$D$14=""),"",VLOOKUP(B8,'1A_C.'!$D$44:$E$51,2,0))))</f>
        <v/>
      </c>
      <c r="M8" s="56" t="str">
        <f>IF((J8=""),"",IF(OR(J8=2,J8=3,J8=4),"",IF(('1A_F'!$I$7=""),"",VLOOKUP(B8,'1A_C.'!$I$44:$J$47,2,0))))</f>
        <v/>
      </c>
      <c r="N8" s="56" t="str">
        <f>IF(OR(M8="",M8=0),"",VLOOKUP(B8,'1A_C.'!$N$44:$O$45,2,0))</f>
        <v/>
      </c>
      <c r="O8" s="56" t="str">
        <f>IF((E8=""),"",SUM(F8,K8,L8,M8,N8))</f>
        <v/>
      </c>
      <c r="P8" s="317">
        <v>2</v>
      </c>
      <c r="Q8"/>
      <c r="R8"/>
      <c r="S8" t="s">
        <v>102</v>
      </c>
      <c r="T8" s="100"/>
    </row>
    <row r="9" spans="1:20" ht="24.95" customHeight="1">
      <c r="A9" s="470"/>
      <c r="B9" s="55" t="str">
        <f>'1A_G'!E9</f>
        <v>ISIDORE SERGE</v>
      </c>
      <c r="C9" s="56" t="str">
        <f>'1A_C.'!E20</f>
        <v/>
      </c>
      <c r="D9" s="56">
        <f>'1A_C.'!G20</f>
        <v>0</v>
      </c>
      <c r="E9" s="56" t="str">
        <f>'1A_C.'!I20</f>
        <v/>
      </c>
      <c r="F9" s="57" t="str">
        <f>IF((C9=""),"",SUM(C9:E9))</f>
        <v/>
      </c>
      <c r="G9" s="58">
        <f>'1A_C.'!L20</f>
        <v>0</v>
      </c>
      <c r="H9" s="56">
        <f>'1A_C.'!N20</f>
        <v>0</v>
      </c>
      <c r="I9" s="56" t="str">
        <f>IF((F9=""),"",(G9-H9))</f>
        <v/>
      </c>
      <c r="J9" s="56" t="str">
        <f>'1A_C.'!Y20</f>
        <v/>
      </c>
      <c r="K9" s="56">
        <f>IF((D9=""),"",IF((J9=1),6,IF((J9=2),4,IF((J9=3),2,0))))</f>
        <v>0</v>
      </c>
      <c r="L9" s="56" t="str">
        <f>IF((J9=""),"",IF(OR(J9=1,J9=4),"",IF(('1A_F'!$D$14=""),"",VLOOKUP(B9,'1A_C.'!$D$44:$E$51,2,0))))</f>
        <v/>
      </c>
      <c r="M9" s="56" t="str">
        <f>IF((J9=""),"",IF(OR(J9=2,J9=3,J9=4),"",IF(('1A_F'!$I$7=""),"",VLOOKUP(B9,'1A_C.'!$I$44:$J$47,2,0))))</f>
        <v/>
      </c>
      <c r="N9" s="56" t="str">
        <f>IF(OR(M9="",M9=0),"",VLOOKUP(B9,'1A_C.'!$N$44:$O$45,2,0))</f>
        <v/>
      </c>
      <c r="O9" s="56" t="str">
        <f>IF((E9=""),"",SUM(F9,K9,L9,M9,N9))</f>
        <v/>
      </c>
      <c r="P9" s="317">
        <v>4</v>
      </c>
      <c r="Q9"/>
      <c r="R9"/>
      <c r="S9"/>
      <c r="T9" s="100"/>
    </row>
    <row r="10" spans="1:20" ht="24.95" customHeight="1" thickBot="1">
      <c r="A10" s="471"/>
      <c r="B10" s="24" t="str">
        <f>'1A_G'!E10</f>
        <v>TOULOUZE Jean-louis</v>
      </c>
      <c r="C10" s="59" t="str">
        <f>'1A_C.'!E21</f>
        <v/>
      </c>
      <c r="D10" s="59">
        <f>'1A_C.'!G21</f>
        <v>0</v>
      </c>
      <c r="E10" s="59" t="str">
        <f>'1A_C.'!I21</f>
        <v/>
      </c>
      <c r="F10" s="60" t="str">
        <f>IF((C10=""),"",SUM(C10:E10))</f>
        <v/>
      </c>
      <c r="G10" s="61">
        <f>'1A_C.'!L21</f>
        <v>0</v>
      </c>
      <c r="H10" s="59">
        <f>'1A_C.'!N21</f>
        <v>0</v>
      </c>
      <c r="I10" s="59" t="str">
        <f>IF((F10=""),"",(G10-H10))</f>
        <v/>
      </c>
      <c r="J10" s="59" t="str">
        <f>'1A_C.'!Y21</f>
        <v/>
      </c>
      <c r="K10" s="59">
        <f>IF((D10=""),"",IF((J10=1),6,IF((J10=2),4,IF((J10=3),2,0))))</f>
        <v>0</v>
      </c>
      <c r="L10" s="59" t="str">
        <f>IF((J10=""),"",IF(OR(J10=1,J10=4),"",IF(('1A_F'!$D$14=""),"",VLOOKUP(B10,'1A_C.'!$D$44:$E$51,2,0))))</f>
        <v/>
      </c>
      <c r="M10" s="59" t="str">
        <f>IF((J10=""),"",IF(OR(J10=2,J10=3,J10=4),"",IF(('1A_F'!$I$7=""),"",VLOOKUP(B10,'1A_C.'!$I$44:$J$47,2,0))))</f>
        <v/>
      </c>
      <c r="N10" s="59" t="str">
        <f>IF(OR(M10="",M10=0),"",VLOOKUP(B10,'1A_C.'!$N$44:$O$45,2,0))</f>
        <v/>
      </c>
      <c r="O10" s="59" t="str">
        <f>IF((E10=""),"",SUM(F10,K10,L10,M10,N10))</f>
        <v/>
      </c>
      <c r="P10" s="318">
        <v>3</v>
      </c>
      <c r="Q10"/>
      <c r="R10"/>
      <c r="S10"/>
      <c r="T10" s="100"/>
    </row>
    <row r="11" spans="1:20" ht="10.9" customHeight="1" thickBot="1">
      <c r="A11" s="28"/>
      <c r="B11" s="12"/>
      <c r="C11" s="31"/>
      <c r="D11" s="31"/>
      <c r="E11" s="31"/>
      <c r="F11" s="62"/>
      <c r="G11" s="33"/>
      <c r="H11" s="31"/>
      <c r="I11" s="31"/>
      <c r="J11" s="31"/>
      <c r="P11" s="315"/>
      <c r="Q11"/>
      <c r="R11"/>
      <c r="S11"/>
      <c r="T11" s="100"/>
    </row>
    <row r="12" spans="1:20" ht="24.95" customHeight="1">
      <c r="A12" s="469">
        <v>2</v>
      </c>
      <c r="B12" s="63" t="str">
        <f>'1A_G'!E11</f>
        <v>BROUSSET Lilian</v>
      </c>
      <c r="C12" s="52" t="str">
        <f>'1A_C.'!E22</f>
        <v/>
      </c>
      <c r="D12" s="52">
        <f>'1A_C.'!G22</f>
        <v>0</v>
      </c>
      <c r="E12" s="52" t="str">
        <f>'1A_C.'!I22</f>
        <v/>
      </c>
      <c r="F12" s="53" t="str">
        <f>IF((C12=""),"",SUM(C12:E12))</f>
        <v/>
      </c>
      <c r="G12" s="54">
        <f>'1A_C.'!L22</f>
        <v>0</v>
      </c>
      <c r="H12" s="52">
        <f>'1A_C.'!N22</f>
        <v>0</v>
      </c>
      <c r="I12" s="52" t="str">
        <f>IF((F12=""),"",(G12-H12))</f>
        <v/>
      </c>
      <c r="J12" s="52" t="str">
        <f>'1A_C.'!Y22</f>
        <v/>
      </c>
      <c r="K12" s="52">
        <f>IF((D12=""),"",IF((J12=1),6,IF((J12=2),4,IF((J12=3),2,0))))</f>
        <v>0</v>
      </c>
      <c r="L12" s="52" t="str">
        <f>IF((J12=""),"",IF(OR(J12=1,J12=4),"",IF(('1A_F'!$D$14=""),"",VLOOKUP(B12,'1A_C.'!$D$44:$E$51,2,0))))</f>
        <v/>
      </c>
      <c r="M12" s="52" t="str">
        <f>IF((J12=""),"",IF(OR(J12=2,J12=3,J12=4),"",IF(('1A_F'!$I$8=""),"",VLOOKUP(B12,'1A_C.'!$I$44:$J$47,2,0))))</f>
        <v/>
      </c>
      <c r="N12" s="52" t="str">
        <f>IF(OR(M12="",M12=0),"",VLOOKUP(B12,'1A_C.'!$N$44:$O$45,2,0))</f>
        <v/>
      </c>
      <c r="O12" s="52" t="str">
        <f>IF((E12=""),"",SUM(F12,K12,L12,M12,N12))</f>
        <v/>
      </c>
      <c r="P12" s="316">
        <v>0</v>
      </c>
      <c r="Q12"/>
      <c r="R12"/>
      <c r="S12"/>
      <c r="T12" s="100"/>
    </row>
    <row r="13" spans="1:20" ht="24.95" customHeight="1">
      <c r="A13" s="470"/>
      <c r="B13" s="64" t="str">
        <f>'1A_G'!E12</f>
        <v>GERLAND JACQUES</v>
      </c>
      <c r="C13" s="56" t="str">
        <f>'1A_C.'!E23</f>
        <v/>
      </c>
      <c r="D13" s="56">
        <f>'1A_C.'!G23</f>
        <v>0</v>
      </c>
      <c r="E13" s="56" t="str">
        <f>'1A_C.'!I23</f>
        <v/>
      </c>
      <c r="F13" s="57" t="str">
        <f>IF((C13=""),"",SUM(C13:E13))</f>
        <v/>
      </c>
      <c r="G13" s="58">
        <f>'1A_C.'!L23</f>
        <v>0</v>
      </c>
      <c r="H13" s="56">
        <f>'1A_C.'!N23</f>
        <v>0</v>
      </c>
      <c r="I13" s="56" t="str">
        <f>IF((F13=""),"",(G13-H13))</f>
        <v/>
      </c>
      <c r="J13" s="56" t="str">
        <f>'1A_C.'!Y23</f>
        <v/>
      </c>
      <c r="K13" s="56">
        <f>IF((D13=""),"",IF((J13=1),6,IF((J13=2),4,IF((J13=3),2,0))))</f>
        <v>0</v>
      </c>
      <c r="L13" s="56" t="str">
        <f>IF((J13=""),"",IF(OR(J13=1,J13=4),"",IF(('1A_F'!$D$14=""),"",VLOOKUP(B13,'1A_C.'!$D$44:$E$51,2,0))))</f>
        <v/>
      </c>
      <c r="M13" s="56" t="str">
        <f>IF((J13=""),"",IF(OR(J13=2,J13=3,J13=4),"",IF(('1A_F'!$I$8=""),"",VLOOKUP(B13,'1A_C.'!$I$44:$J$47,2,0))))</f>
        <v/>
      </c>
      <c r="N13" s="56" t="str">
        <f>IF(OR(M13="",M13=0),"",VLOOKUP(B13,'1A_C.'!$N$44:$O$45,2,0))</f>
        <v/>
      </c>
      <c r="O13" s="56" t="str">
        <f>IF((E13=""),"",SUM(F13,K13,L13,M13,N13))</f>
        <v/>
      </c>
      <c r="P13" s="317">
        <v>0</v>
      </c>
      <c r="Q13"/>
      <c r="R13"/>
      <c r="S13"/>
      <c r="T13" s="100"/>
    </row>
    <row r="14" spans="1:20" ht="24.95" customHeight="1">
      <c r="A14" s="470"/>
      <c r="B14" s="64" t="str">
        <f>'1A_G'!E13</f>
        <v>BOURBON Stephane</v>
      </c>
      <c r="C14" s="56" t="str">
        <f>'1A_C.'!E24</f>
        <v/>
      </c>
      <c r="D14" s="56">
        <f>'1A_C.'!G24</f>
        <v>0</v>
      </c>
      <c r="E14" s="56" t="str">
        <f>'1A_C.'!I24</f>
        <v/>
      </c>
      <c r="F14" s="57" t="str">
        <f>IF((C14=""),"",SUM(C14:E14))</f>
        <v/>
      </c>
      <c r="G14" s="58">
        <f>'1A_C.'!L24</f>
        <v>0</v>
      </c>
      <c r="H14" s="56">
        <f>'1A_C.'!N24</f>
        <v>0</v>
      </c>
      <c r="I14" s="56" t="str">
        <f>IF((F14=""),"",(G14-H14))</f>
        <v/>
      </c>
      <c r="J14" s="56" t="str">
        <f>'1A_C.'!Y24</f>
        <v/>
      </c>
      <c r="K14" s="56">
        <f>IF((D14=""),"",IF((J14=1),6,IF((J14=2),4,IF((J14=3),2,0))))</f>
        <v>0</v>
      </c>
      <c r="L14" s="56" t="str">
        <f>IF((J14=""),"",IF(OR(J14=1,J14=4),"",IF(('1A_F'!$D$14=""),"",VLOOKUP(B14,'1A_C.'!$D$44:$E$51,2,0))))</f>
        <v/>
      </c>
      <c r="M14" s="56" t="str">
        <f>IF((J14=""),"",IF(OR(J14=2,J14=3,J14=4),"",IF(('1A_F'!$I$8=""),"",VLOOKUP(B14,'1A_C.'!$I$44:$J$47,2,0))))</f>
        <v/>
      </c>
      <c r="N14" s="56" t="str">
        <f>IF(OR(M14="",M14=0),"",VLOOKUP(B14,'1A_C.'!$N$44:$O$45,2,0))</f>
        <v/>
      </c>
      <c r="O14" s="56" t="str">
        <f>IF((E14=""),"",SUM(F14,K14,L14,M14,N14))</f>
        <v/>
      </c>
      <c r="P14" s="317">
        <v>0</v>
      </c>
      <c r="Q14"/>
      <c r="R14"/>
      <c r="S14"/>
      <c r="T14" s="100"/>
    </row>
    <row r="15" spans="1:20" ht="24.95" customHeight="1" thickBot="1">
      <c r="A15" s="471"/>
      <c r="B15" s="65" t="str">
        <f>'1A_G'!E14</f>
        <v xml:space="preserve">CROZE Lilian </v>
      </c>
      <c r="C15" s="59" t="str">
        <f>'1A_C.'!E25</f>
        <v/>
      </c>
      <c r="D15" s="59">
        <f>'1A_C.'!G25</f>
        <v>0</v>
      </c>
      <c r="E15" s="59" t="str">
        <f>'1A_C.'!I25</f>
        <v/>
      </c>
      <c r="F15" s="60" t="str">
        <f>IF((C15=""),"",SUM(C15:E15))</f>
        <v/>
      </c>
      <c r="G15" s="61">
        <f>'1A_C.'!L25</f>
        <v>0</v>
      </c>
      <c r="H15" s="59">
        <f>'1A_C.'!N25</f>
        <v>0</v>
      </c>
      <c r="I15" s="59" t="str">
        <f>IF((F15=""),"",(G15-H15))</f>
        <v/>
      </c>
      <c r="J15" s="59" t="str">
        <f>'1A_C.'!Y25</f>
        <v/>
      </c>
      <c r="K15" s="59">
        <f>IF((D15=""),"",IF((J15=1),6,IF((J15=2),4,IF((J15=3),2,0))))</f>
        <v>0</v>
      </c>
      <c r="L15" s="59" t="str">
        <f>IF((J15=""),"",IF(OR(J15=1,J15=4),"",IF(('1A_F'!$D$14=""),"",VLOOKUP(B15,'1A_C.'!$D$44:$E$51,2,0))))</f>
        <v/>
      </c>
      <c r="M15" s="59" t="str">
        <f>IF((J15=""),"",IF(OR(J15=2,J15=3,J15=4),"",IF(('1A_F'!$I$8=""),"",VLOOKUP(B15,'1A_C.'!$I$44:$J$47,2,0))))</f>
        <v/>
      </c>
      <c r="N15" s="59" t="str">
        <f>IF(OR(M15="",M15=0),"",VLOOKUP(B15,'1A_C.'!$N$44:$O$45,2,0))</f>
        <v/>
      </c>
      <c r="O15" s="59" t="str">
        <f>IF((E15=""),"",SUM(F15,K15,L15,M15,N15))</f>
        <v/>
      </c>
      <c r="P15" s="318">
        <v>0</v>
      </c>
      <c r="Q15"/>
      <c r="R15"/>
      <c r="S15"/>
      <c r="T15" s="100"/>
    </row>
    <row r="16" spans="1:20" ht="10.9" customHeight="1" thickBot="1">
      <c r="A16" s="28"/>
      <c r="B16" s="30"/>
      <c r="C16" s="31"/>
      <c r="D16" s="31"/>
      <c r="E16" s="31"/>
      <c r="F16" s="62"/>
      <c r="G16" s="33"/>
      <c r="H16" s="31"/>
      <c r="I16" s="31"/>
      <c r="J16" s="31"/>
      <c r="L16" s="308" t="str">
        <f>IF((J16=""),"",IF(OR(J16=1,J16=4),"",IF(('1A_F'!$D$14=""),"",VLOOKUP(B16,'1A_C.'!$D$44:$E$51,2,0))))</f>
        <v/>
      </c>
      <c r="M16" s="308" t="str">
        <f>IF((J16=""),"",IF(OR(J16=2,J16=3,J16=4),"",IF(('1A_F'!$I$8=""),"",VLOOKUP(B16,'1A_C.'!$I$44:$J$47,2,0))))</f>
        <v/>
      </c>
      <c r="P16" s="315"/>
      <c r="Q16"/>
      <c r="R16"/>
      <c r="S16"/>
      <c r="T16" s="100"/>
    </row>
    <row r="17" spans="1:20" ht="24.95" customHeight="1">
      <c r="A17" s="469">
        <v>3</v>
      </c>
      <c r="B17" s="63" t="str">
        <f>'1A_G'!E18</f>
        <v xml:space="preserve">DESGACHES Jonathan </v>
      </c>
      <c r="C17" s="52">
        <f>+'1A_G'!G18</f>
        <v>0</v>
      </c>
      <c r="D17" s="52">
        <f>+'1A_G'!Q20</f>
        <v>0</v>
      </c>
      <c r="E17" s="52">
        <f>+'1A_G'!AA18</f>
        <v>0</v>
      </c>
      <c r="F17" s="53">
        <f>IF((C17=""),"",SUM(C17:E17))</f>
        <v>0</v>
      </c>
      <c r="G17" s="54">
        <f>+'1A_G'!AI18</f>
        <v>0</v>
      </c>
      <c r="H17" s="52">
        <f>+'1A_G'!AJ18</f>
        <v>0</v>
      </c>
      <c r="I17" s="321">
        <f>IF((F17=""),"",(G17-H17))</f>
        <v>0</v>
      </c>
      <c r="J17" s="346" t="str">
        <f>IF(ISNA(MATCH(B17,'1A_G'!AR$18:AR$23,0)),"",INDEX('1A_G'!AQ$18:AQ$23,MATCH(B17,'1A_G'!AR$18:AR$23,0)))</f>
        <v/>
      </c>
      <c r="K17" s="343">
        <f>IF((D17=""),"",IF((J17=1),6,IF((J17=2),4,IF((J17=3),2,0))))</f>
        <v>0</v>
      </c>
      <c r="L17" s="321" t="str">
        <f>IF((J17=""),"",IF(OR(J17=1,J17=4,J17=5,J17=6),"",IF(('1A_F'!$D$14=""),"",VLOOKUP(B17,'1A_C.'!$D$44:$E$51,2,0))))</f>
        <v/>
      </c>
      <c r="M17" s="52" t="str">
        <f>IF((J17=""),"",IF(OR(J17=2,J17=3,J17=4,J17=5,J17=6),"",IF(('1A_F'!$I$13=""),"",VLOOKUP(B17,'1A_C.'!$I$44:$J$47,2,0))))</f>
        <v/>
      </c>
      <c r="N17" s="310" t="str">
        <f>IF(OR(M17="",M17=0),"",VLOOKUP(B17,'1A_C.'!$N$44:$O$45,2,0))</f>
        <v/>
      </c>
      <c r="O17" s="321">
        <f>IF((E17=""),"",SUM(F17,K17,L17,M17,N17))</f>
        <v>0</v>
      </c>
      <c r="P17" s="316">
        <f>+'1A_G'!AL18</f>
        <v>0</v>
      </c>
      <c r="Q17"/>
      <c r="R17"/>
      <c r="S17"/>
      <c r="T17" s="100"/>
    </row>
    <row r="18" spans="1:20" ht="24.95" customHeight="1">
      <c r="A18" s="470"/>
      <c r="B18" s="64" t="str">
        <f>'1A_G'!E19</f>
        <v>CHAMBONNET Jean-Pierre</v>
      </c>
      <c r="C18" s="56">
        <f>+'1A_G'!G19</f>
        <v>0</v>
      </c>
      <c r="D18" s="56">
        <f>+'1A_G'!Q19</f>
        <v>0</v>
      </c>
      <c r="E18" s="56">
        <f>+'1A_G'!AA20</f>
        <v>0</v>
      </c>
      <c r="F18" s="57">
        <f>IF((C18=""),"",SUM(C18:E18))</f>
        <v>0</v>
      </c>
      <c r="G18" s="58">
        <f>+'1A_G'!AI19</f>
        <v>0</v>
      </c>
      <c r="H18" s="56">
        <f>+'1A_G'!AJ19</f>
        <v>0</v>
      </c>
      <c r="I18" s="322">
        <f>IF((F18=""),"",(G18-H18))</f>
        <v>0</v>
      </c>
      <c r="J18" s="347" t="str">
        <f>IF(ISNA(MATCH(B18,'1A_G'!AR$18:AR$23,0)),"",INDEX('1A_G'!AQ$18:AQ$23,MATCH(B18,'1A_G'!AR$18:AR$23,0)))</f>
        <v/>
      </c>
      <c r="K18" s="344">
        <f>IF((D18=""),"",IF((J18=1),6,IF((J18=2),4,IF((J18=3),2,0))))</f>
        <v>0</v>
      </c>
      <c r="L18" s="322" t="str">
        <f>IF((J18=""),"",IF(OR(J18=1,J18=4,J18=5,J18=6),"",IF(('1A_F'!$D$14=""),"",VLOOKUP(B18,'1A_C.'!$D$44:$E$51,2,0))))</f>
        <v/>
      </c>
      <c r="M18" s="56" t="str">
        <f>IF((J18=""),"",IF(OR(J18=2,J18=3,J18=4,J18=5,J18=6),"",IF(('1A_F'!$I$13=""),"",VLOOKUP(B18,'1A_C.'!$I$44:$J$47,2,0))))</f>
        <v/>
      </c>
      <c r="N18" s="312" t="str">
        <f>IF(OR(M18="",M18=0),"",VLOOKUP(B18,'1A_C.'!$N$44:$O$45,2,0))</f>
        <v/>
      </c>
      <c r="O18" s="322">
        <f>IF((E18=""),"",SUM(F18,K18,L18,M18,N18))</f>
        <v>0</v>
      </c>
      <c r="P18" s="317">
        <f>+'1A_G'!AL19</f>
        <v>0</v>
      </c>
      <c r="Q18"/>
      <c r="R18"/>
      <c r="S18"/>
      <c r="T18" s="100"/>
    </row>
    <row r="19" spans="1:20" ht="24.95" customHeight="1">
      <c r="A19" s="470"/>
      <c r="B19" s="64" t="str">
        <f>'1A_G'!E20</f>
        <v>HILAIRE Gabriel</v>
      </c>
      <c r="C19" s="56">
        <f>+'1A_G'!G20</f>
        <v>0</v>
      </c>
      <c r="D19" s="56">
        <f>+'1A_G'!Q22</f>
        <v>2</v>
      </c>
      <c r="E19" s="56">
        <f>+'1A_G'!AA21</f>
        <v>0</v>
      </c>
      <c r="F19" s="57">
        <f t="shared" ref="F19:F20" si="0">IF((C19=""),"",SUM(C19:E19))</f>
        <v>2</v>
      </c>
      <c r="G19" s="58">
        <f>+'1A_G'!AI20</f>
        <v>0</v>
      </c>
      <c r="H19" s="56">
        <f>+'1A_G'!AJ20</f>
        <v>0</v>
      </c>
      <c r="I19" s="322">
        <f t="shared" ref="I19:I20" si="1">IF((F19=""),"",(G19-H19))</f>
        <v>0</v>
      </c>
      <c r="J19" s="347" t="str">
        <f>IF(ISNA(MATCH(B19,'1A_G'!AR$18:AR$23,0)),"",INDEX('1A_G'!AQ$18:AQ$23,MATCH(B19,'1A_G'!AR$18:AR$23,0)))</f>
        <v/>
      </c>
      <c r="K19" s="344">
        <f t="shared" ref="K19:K20" si="2">IF((D19=""),"",IF((J19=1),6,IF((J19=2),4,IF((J19=3),2,0))))</f>
        <v>0</v>
      </c>
      <c r="L19" s="322" t="str">
        <f>IF((J19=""),"",IF(OR(J19=1,J19=4,J19=5,J19=6),"",IF(('1A_F'!$D$14=""),"",VLOOKUP(B19,'1A_C.'!$D$44:$E$51,2,0))))</f>
        <v/>
      </c>
      <c r="M19" s="56" t="str">
        <f>IF((J19=""),"",IF(OR(J19=2,J19=3,J19=4,J19=5,J19=6),"",IF(('1A_F'!$I$13=""),"",VLOOKUP(B19,'1A_C.'!$I$44:$J$47,2,0))))</f>
        <v/>
      </c>
      <c r="N19" s="312"/>
      <c r="O19" s="322">
        <f t="shared" ref="O19:O20" si="3">IF((E19=""),"",SUM(F19,K19,L19,M19,N19))</f>
        <v>2</v>
      </c>
      <c r="P19" s="317">
        <f>+'1A_G'!AL20</f>
        <v>0</v>
      </c>
      <c r="Q19"/>
      <c r="R19"/>
      <c r="S19"/>
      <c r="T19" s="100"/>
    </row>
    <row r="20" spans="1:20" ht="24.95" customHeight="1">
      <c r="A20" s="470"/>
      <c r="B20" s="64" t="str">
        <f>'1A_G'!E21</f>
        <v>ALLIX Valentin</v>
      </c>
      <c r="C20" s="56">
        <f>+'1A_G'!G21</f>
        <v>0</v>
      </c>
      <c r="D20" s="56">
        <f>+'1A_G'!Q21</f>
        <v>0</v>
      </c>
      <c r="E20" s="56">
        <f>+'1A_G'!AA22</f>
        <v>2</v>
      </c>
      <c r="F20" s="57">
        <f t="shared" si="0"/>
        <v>2</v>
      </c>
      <c r="G20" s="58">
        <f>+'1A_G'!AI21</f>
        <v>0</v>
      </c>
      <c r="H20" s="56">
        <f>+'1A_G'!AJ21</f>
        <v>0</v>
      </c>
      <c r="I20" s="322">
        <f t="shared" si="1"/>
        <v>0</v>
      </c>
      <c r="J20" s="347" t="str">
        <f>IF(ISNA(MATCH(B20,'1A_G'!AR$18:AR$23,0)),"",INDEX('1A_G'!AQ$18:AQ$23,MATCH(B20,'1A_G'!AR$18:AR$23,0)))</f>
        <v/>
      </c>
      <c r="K20" s="344">
        <f t="shared" si="2"/>
        <v>0</v>
      </c>
      <c r="L20" s="322" t="str">
        <f>IF((J20=""),"",IF(OR(J20=1,J20=4,J20=5,J20=6),"",IF(('1A_F'!$D$14=""),"",VLOOKUP(B20,'1A_C.'!$D$44:$E$51,2,0))))</f>
        <v/>
      </c>
      <c r="M20" s="56" t="str">
        <f>IF((J20=""),"",IF(OR(J20=2,J20=3,J20=4,J20=5,J20=6),"",IF(('1A_F'!$I$13=""),"",VLOOKUP(B20,'1A_C.'!$I$44:$J$47,2,0))))</f>
        <v/>
      </c>
      <c r="N20" s="312"/>
      <c r="O20" s="322">
        <f t="shared" si="3"/>
        <v>2</v>
      </c>
      <c r="P20" s="317">
        <f>+'1A_G'!AL21</f>
        <v>0</v>
      </c>
      <c r="Q20"/>
      <c r="R20"/>
      <c r="S20"/>
      <c r="T20" s="100"/>
    </row>
    <row r="21" spans="1:20" ht="24.95" customHeight="1">
      <c r="A21" s="470"/>
      <c r="B21" s="64" t="str">
        <f>'1A_G'!E22</f>
        <v>AGUILERA Vincent</v>
      </c>
      <c r="C21" s="56">
        <f>+'1A_G'!G22</f>
        <v>2</v>
      </c>
      <c r="D21" s="56">
        <f>+'1A_G'!Q18</f>
        <v>0</v>
      </c>
      <c r="E21" s="56">
        <f>+'1A_G'!AA19</f>
        <v>0</v>
      </c>
      <c r="F21" s="57">
        <f>IF((C21=""),"",SUM(C21:E21))</f>
        <v>2</v>
      </c>
      <c r="G21" s="58">
        <f>+'1A_G'!AI22</f>
        <v>13</v>
      </c>
      <c r="H21" s="56">
        <f>+'1A_G'!AJ22</f>
        <v>7</v>
      </c>
      <c r="I21" s="322">
        <f>IF((F21=""),"",(G21-H21))</f>
        <v>6</v>
      </c>
      <c r="J21" s="347">
        <f>IF(ISNA(MATCH(B21,'1A_G'!AR$18:AR$23,0)),"",INDEX('1A_G'!AQ$18:AQ$23,MATCH(B21,'1A_G'!AR$18:AR$23,0)))</f>
        <v>1</v>
      </c>
      <c r="K21" s="344">
        <f>IF((D21=""),"",IF((J21=1),6,IF((J21=2),4,IF((J21=3),2,0))))</f>
        <v>6</v>
      </c>
      <c r="L21" s="322" t="str">
        <f>IF((J21=""),"",IF(OR(J21=1,J21=4,J21=5,J21=6),"",IF(('1A_F'!$D$14=""),"",VLOOKUP(B21,'1A_C.'!$D$44:$E$51,2,0))))</f>
        <v/>
      </c>
      <c r="M21" s="56" t="str">
        <f>IF((J21=""),"",IF(OR(J21=2,J21=3,J21=4,J21=5,J21=6),"",IF(('1A_F'!$I$13=""),"",VLOOKUP(B21,'1A_C.'!$I$44:$J$47,2,0))))</f>
        <v/>
      </c>
      <c r="N21" s="312" t="str">
        <f>IF(OR(M21="",M21=0),"",VLOOKUP(B21,'1A_C.'!$N$44:$O$45,2,0))</f>
        <v/>
      </c>
      <c r="O21" s="322">
        <f>IF((E21=""),"",SUM(F21,K21,L21,M21,N21))</f>
        <v>8</v>
      </c>
      <c r="P21" s="317">
        <f>+'1A_G'!AL22</f>
        <v>0</v>
      </c>
      <c r="Q21"/>
      <c r="R21"/>
      <c r="S21"/>
      <c r="T21" s="100"/>
    </row>
    <row r="22" spans="1:20" ht="24.95" customHeight="1" thickBot="1">
      <c r="A22" s="471"/>
      <c r="B22" s="65" t="str">
        <f>'1A_G'!E23</f>
        <v>OFFICE</v>
      </c>
      <c r="C22" s="59">
        <f>+'1A_G'!G23</f>
        <v>0</v>
      </c>
      <c r="D22" s="59">
        <f>+'1A_G'!Q23</f>
        <v>0</v>
      </c>
      <c r="E22" s="59">
        <f>+'1A_G'!AA23</f>
        <v>0</v>
      </c>
      <c r="F22" s="60">
        <f>IF((C22=""),"",SUM(C22:E22))</f>
        <v>0</v>
      </c>
      <c r="G22" s="61">
        <f>+'1A_G'!AI23</f>
        <v>21</v>
      </c>
      <c r="H22" s="59">
        <f>+'1A_G'!AJ23</f>
        <v>39</v>
      </c>
      <c r="I22" s="323">
        <f>IF((F22=""),"",(G22-H22))</f>
        <v>-18</v>
      </c>
      <c r="J22" s="348">
        <f>IF(ISNA(MATCH(B22,'1A_G'!AR$18:AR$23,0)),"",INDEX('1A_G'!AQ$18:AQ$23,MATCH(B22,'1A_G'!AR$18:AR$23,0)))</f>
        <v>6</v>
      </c>
      <c r="K22" s="345">
        <f>IF((D22=""),"",IF((J22=1),6,IF((J22=2),4,IF((J22=3),2,0))))</f>
        <v>0</v>
      </c>
      <c r="L22" s="323" t="str">
        <f>IF((J22=""),"",IF(OR(J22=1,J22=4,J22=5,J22=6),"",IF(('1A_F'!$D$14=""),"",VLOOKUP(B22,'1A_C.'!$D$44:$E$51,2,0))))</f>
        <v/>
      </c>
      <c r="M22" s="59" t="str">
        <f>IF((J22=""),"",IF(OR(J22=2,J22=3,J22=4,J22=5,J22=6),"",IF(('1A_F'!$I$13=""),"",VLOOKUP(B22,'1A_C.'!$I$44:$J$47,2,0))))</f>
        <v/>
      </c>
      <c r="N22" s="313" t="str">
        <f>IF(OR(M22="",M22=0),"",VLOOKUP(B22,'1A_C.'!$N$44:$O$45,2,0))</f>
        <v/>
      </c>
      <c r="O22" s="323">
        <f>IF((E22=""),"",SUM(F22,K22,L22,M22,N22))</f>
        <v>0</v>
      </c>
      <c r="P22" s="318">
        <f>+'1A_G'!AL23</f>
        <v>0</v>
      </c>
      <c r="Q22"/>
      <c r="R22"/>
      <c r="S22"/>
      <c r="T22" s="100"/>
    </row>
    <row r="23" spans="1:20" ht="10.9" customHeight="1" thickBot="1">
      <c r="A23" s="28"/>
      <c r="B23" s="30"/>
      <c r="C23" s="31"/>
      <c r="D23" s="31"/>
      <c r="E23" s="31"/>
      <c r="F23" s="62"/>
      <c r="G23" s="33"/>
      <c r="H23" s="31"/>
      <c r="I23"/>
      <c r="J23"/>
      <c r="L23" s="324"/>
      <c r="M23" s="309"/>
      <c r="P23"/>
      <c r="Q23"/>
      <c r="R23"/>
      <c r="S23"/>
      <c r="T23" s="100"/>
    </row>
    <row r="24" spans="1:20" ht="24.95" customHeight="1">
      <c r="A24" s="472">
        <v>4</v>
      </c>
      <c r="B24" s="63" t="str">
        <f>'1A_G'!E25</f>
        <v>FAURE Thierry</v>
      </c>
      <c r="C24" s="52">
        <f>+'1A_G'!G25</f>
        <v>0</v>
      </c>
      <c r="D24" s="310">
        <f>+'1A_G'!Q27</f>
        <v>0</v>
      </c>
      <c r="E24" s="52">
        <f>+'1A_G'!AA25</f>
        <v>0</v>
      </c>
      <c r="F24" s="325">
        <f>IF((C24=""),"",SUM(C24:E24))</f>
        <v>0</v>
      </c>
      <c r="G24" s="326">
        <f>+'1A_G'!AI25</f>
        <v>0</v>
      </c>
      <c r="H24" s="327">
        <f>+'1A_G'!AJ25</f>
        <v>0</v>
      </c>
      <c r="I24" s="328">
        <f>IF((F24=""),"",(G24-H24))</f>
        <v>0</v>
      </c>
      <c r="J24" s="346" t="str">
        <f>IF(ISNA(MATCH(B24,'1A_G'!AR$25:AR$30,0)),"",INDEX('1A_G'!AQ$25:AQ$30,MATCH(B24,'1A_G'!AR$25:AR$30,0)))</f>
        <v/>
      </c>
      <c r="K24" s="329">
        <f>IF((D24=""),"",IF((J24=1),6,IF((J24=2),4,IF((J24=3),2,0))))</f>
        <v>0</v>
      </c>
      <c r="L24" s="328" t="str">
        <f>IF((J24=""),"",IF(OR(J24=1,J24=4,J24=5,J24=6),"",IF(('1A_F'!$D$14=""),"",VLOOKUP(B24,'1A_C.'!$D$44:$E$51,2,0))))</f>
        <v/>
      </c>
      <c r="M24" s="327" t="str">
        <f>IF((J24=""),"",IF(OR(J24=2,J24=3,J24=4,J24=5,J24=6),"",IF(('1A_F'!$I$14=""),"",VLOOKUP(B24,'1A_C.'!$I$44:$J$47,2,0))))</f>
        <v/>
      </c>
      <c r="N24" s="329" t="str">
        <f>IF(OR(M24="",M24=0),"",VLOOKUP(B24,'1A_C.'!$N$44:$O$45,2,0))</f>
        <v/>
      </c>
      <c r="O24" s="328">
        <f>IF((E24=""),"",SUM(F24,K24,L24,M24,N24))</f>
        <v>0</v>
      </c>
      <c r="P24" s="316">
        <f>+'1A_G'!AL25</f>
        <v>0</v>
      </c>
      <c r="Q24"/>
      <c r="R24"/>
      <c r="S24"/>
      <c r="T24" s="100"/>
    </row>
    <row r="25" spans="1:20" ht="24.95" customHeight="1">
      <c r="A25" s="473"/>
      <c r="B25" s="64" t="str">
        <f>'1A_G'!E26</f>
        <v>CHARBONNIER eric</v>
      </c>
      <c r="C25" s="56">
        <f>+'1A_G'!G26</f>
        <v>0</v>
      </c>
      <c r="D25" s="311">
        <f>+'1A_G'!Q26</f>
        <v>0</v>
      </c>
      <c r="E25" s="67">
        <f>+'1A_G'!AA27</f>
        <v>0</v>
      </c>
      <c r="F25" s="57">
        <f t="shared" ref="F25:F26" si="4">IF((C25=""),"",SUM(C25:E25))</f>
        <v>0</v>
      </c>
      <c r="G25" s="58">
        <f>+'1A_G'!AI26</f>
        <v>0</v>
      </c>
      <c r="H25" s="56">
        <f>+'1A_G'!AJ26</f>
        <v>0</v>
      </c>
      <c r="I25" s="322">
        <f t="shared" ref="I25:I26" si="5">IF((F25=""),"",(G25-H25))</f>
        <v>0</v>
      </c>
      <c r="J25" s="347" t="str">
        <f>IF(ISNA(MATCH(B25,'1A_G'!AR$25:AR$30,0)),"",INDEX('1A_G'!AQ$25:AQ$30,MATCH(B25,'1A_G'!AR$25:AR$30,0)))</f>
        <v/>
      </c>
      <c r="K25" s="312">
        <f t="shared" ref="K25:K26" si="6">IF((D25=""),"",IF((J25=1),6,IF((J25=2),4,IF((J25=3),2,0))))</f>
        <v>0</v>
      </c>
      <c r="L25" s="322" t="str">
        <f>IF((J25=""),"",IF(OR(J25=1,J25=4,J25=5,J25=6),"",IF(('1A_F'!$D$14=""),"",VLOOKUP(B25,'1A_C.'!$D$44:$E$51,2,0))))</f>
        <v/>
      </c>
      <c r="M25" s="56" t="str">
        <f>IF((J25=""),"",IF(OR(J25=2,J25=3,J25=4,J25=5,J25=6),"",IF(('1A_F'!$I$14=""),"",VLOOKUP(B25,'1A_C.'!$I$44:$J$47,2,0))))</f>
        <v/>
      </c>
      <c r="N25" s="312"/>
      <c r="O25" s="322">
        <f t="shared" ref="O25:O26" si="7">IF((E25=""),"",SUM(F25,K25,L25,M25,N25))</f>
        <v>0</v>
      </c>
      <c r="P25" s="317">
        <f>+'1A_G'!AL26</f>
        <v>0</v>
      </c>
      <c r="Q25"/>
      <c r="R25"/>
      <c r="S25"/>
      <c r="T25" s="100"/>
    </row>
    <row r="26" spans="1:20" ht="24.95" customHeight="1">
      <c r="A26" s="473"/>
      <c r="B26" s="64" t="str">
        <f>'1A_G'!E27</f>
        <v>EYRAUD Jean-Paul</v>
      </c>
      <c r="C26" s="56">
        <f>+'1A_G'!G27</f>
        <v>0</v>
      </c>
      <c r="D26" s="311">
        <f>+'1A_G'!Q29</f>
        <v>2</v>
      </c>
      <c r="E26" s="67">
        <f>+'1A_G'!AA28</f>
        <v>0</v>
      </c>
      <c r="F26" s="180">
        <f t="shared" si="4"/>
        <v>2</v>
      </c>
      <c r="G26" s="181">
        <f>+'1A_G'!AI27</f>
        <v>0</v>
      </c>
      <c r="H26" s="67">
        <f>+'1A_G'!AJ27</f>
        <v>0</v>
      </c>
      <c r="I26" s="330">
        <f t="shared" si="5"/>
        <v>0</v>
      </c>
      <c r="J26" s="347" t="str">
        <f>IF(ISNA(MATCH(B26,'1A_G'!AR$25:AR$30,0)),"",INDEX('1A_G'!AQ$25:AQ$30,MATCH(B26,'1A_G'!AR$25:AR$30,0)))</f>
        <v/>
      </c>
      <c r="K26" s="311">
        <f t="shared" si="6"/>
        <v>0</v>
      </c>
      <c r="L26" s="330" t="str">
        <f>IF((J26=""),"",IF(OR(J26=1,J26=4,J26=5,J26=6),"",IF(('1A_F'!$D$14=""),"",VLOOKUP(B26,'1A_C.'!$D$44:$E$51,2,0))))</f>
        <v/>
      </c>
      <c r="M26" s="67" t="str">
        <f>IF((J26=""),"",IF(OR(J26=2,J26=3,J26=4,J26=5,J26=6),"",IF(('1A_F'!$I$14=""),"",VLOOKUP(B26,'1A_C.'!$I$44:$J$47,2,0))))</f>
        <v/>
      </c>
      <c r="N26" s="311"/>
      <c r="O26" s="330">
        <f t="shared" si="7"/>
        <v>2</v>
      </c>
      <c r="P26" s="317">
        <f>+'1A_G'!AL27</f>
        <v>0</v>
      </c>
      <c r="Q26"/>
      <c r="R26"/>
      <c r="S26"/>
      <c r="T26" s="100"/>
    </row>
    <row r="27" spans="1:20" ht="24.95" customHeight="1">
      <c r="A27" s="474"/>
      <c r="B27" s="64" t="str">
        <f>'1A_G'!E28</f>
        <v xml:space="preserve">SOUCHE Thierry </v>
      </c>
      <c r="C27" s="56">
        <f>+'1A_G'!G28</f>
        <v>0</v>
      </c>
      <c r="D27" s="312">
        <f>+'1A_G'!Q28</f>
        <v>0</v>
      </c>
      <c r="E27" s="56">
        <f>+'1A_G'!AA29</f>
        <v>2</v>
      </c>
      <c r="F27" s="57">
        <f>IF((C27=""),"",SUM(C27:E27))</f>
        <v>2</v>
      </c>
      <c r="G27" s="58">
        <f>+'1A_G'!AI28</f>
        <v>0</v>
      </c>
      <c r="H27" s="56">
        <f>+'1A_G'!AJ28</f>
        <v>0</v>
      </c>
      <c r="I27" s="322">
        <f>IF((F27=""),"",(G27-H27))</f>
        <v>0</v>
      </c>
      <c r="J27" s="347" t="str">
        <f>IF(ISNA(MATCH(B27,'1A_G'!AR$25:AR$30,0)),"",INDEX('1A_G'!AQ$25:AQ$30,MATCH(B27,'1A_G'!AR$25:AR$30,0)))</f>
        <v/>
      </c>
      <c r="K27" s="312">
        <f>IF((D27=""),"",IF((J27=1),6,IF((J27=2),4,IF((J27=3),2,0))))</f>
        <v>0</v>
      </c>
      <c r="L27" s="322" t="str">
        <f>IF((J27=""),"",IF(OR(J27=1,J27=4,J27=5,J27=6),"",IF(('1A_F'!$D$14=""),"",VLOOKUP(B27,'1A_C.'!$D$44:$E$51,2,0))))</f>
        <v/>
      </c>
      <c r="M27" s="56" t="str">
        <f>IF((J27=""),"",IF(OR(J27=2,J27=3,J27=4,J27=5,J27=6),"",IF(('1A_F'!$I$14=""),"",VLOOKUP(B27,'1A_C.'!$I$44:$J$47,2,0))))</f>
        <v/>
      </c>
      <c r="N27" s="312" t="str">
        <f>IF(OR(M27="",M27=0),"",VLOOKUP(B27,'1A_C.'!$N$44:$O$45,2,0))</f>
        <v/>
      </c>
      <c r="O27" s="322">
        <f>IF((E27=""),"",SUM(F27,K27,L27,M27,N27))</f>
        <v>2</v>
      </c>
      <c r="P27" s="317">
        <f>+'1A_G'!AL28</f>
        <v>0</v>
      </c>
      <c r="Q27"/>
      <c r="R27"/>
      <c r="S27"/>
      <c r="T27" s="100"/>
    </row>
    <row r="28" spans="1:20" ht="24.95" customHeight="1">
      <c r="A28" s="474"/>
      <c r="B28" s="64" t="str">
        <f>'1A_G'!E29</f>
        <v>JOUVE GERARD</v>
      </c>
      <c r="C28" s="56">
        <f>+'1A_G'!G29</f>
        <v>2</v>
      </c>
      <c r="D28" s="312">
        <f>+'1A_G'!Q25</f>
        <v>0</v>
      </c>
      <c r="E28" s="56">
        <f>+'1A_G'!AA26</f>
        <v>0</v>
      </c>
      <c r="F28" s="57">
        <f>IF((C28=""),"",SUM(C28:E28))</f>
        <v>2</v>
      </c>
      <c r="G28" s="58">
        <f>+'1A_G'!AI29</f>
        <v>13</v>
      </c>
      <c r="H28" s="56">
        <f>+'1A_G'!AJ29</f>
        <v>7</v>
      </c>
      <c r="I28" s="322">
        <f>IF((F28=""),"",(G28-H28))</f>
        <v>6</v>
      </c>
      <c r="J28" s="347">
        <f>IF(ISNA(MATCH(B28,'1A_G'!AR$25:AR$30,0)),"",INDEX('1A_G'!AQ$25:AQ$30,MATCH(B28,'1A_G'!AR$25:AR$30,0)))</f>
        <v>1</v>
      </c>
      <c r="K28" s="312">
        <f>IF((D28=""),"",IF((J28=1),6,IF((J28=2),4,IF((J28=3),2,0))))</f>
        <v>6</v>
      </c>
      <c r="L28" s="322" t="str">
        <f>IF((J28=""),"",IF(OR(J28=1,J28=4,J28=5,J28=6),"",IF(('1A_F'!$D$14=""),"",VLOOKUP(B28,'1A_C.'!$D$44:$E$51,2,0))))</f>
        <v/>
      </c>
      <c r="M28" s="56" t="str">
        <f>IF((J28=""),"",IF(OR(J28=2,J28=3,J28=4,J28=5,J28=6),"",IF(('1A_F'!$I$14=""),"",VLOOKUP(B28,'1A_C.'!$I$44:$J$47,2,0))))</f>
        <v/>
      </c>
      <c r="N28" s="312" t="str">
        <f>IF(OR(M28="",M28=0),"",VLOOKUP(B28,'1A_C.'!$N$44:$O$45,2,0))</f>
        <v/>
      </c>
      <c r="O28" s="322">
        <f>IF((E28=""),"",SUM(F28,K28,L28,M28,N28))</f>
        <v>8</v>
      </c>
      <c r="P28" s="317">
        <f>+'1A_G'!AL29</f>
        <v>0</v>
      </c>
      <c r="Q28"/>
      <c r="R28"/>
      <c r="S28"/>
      <c r="T28" s="100"/>
    </row>
    <row r="29" spans="1:20" ht="24.95" customHeight="1" thickBot="1">
      <c r="A29" s="475"/>
      <c r="B29" s="65" t="str">
        <f>'1A_G'!E30</f>
        <v>OFFICE</v>
      </c>
      <c r="C29" s="59">
        <f>+'1A_G'!G30</f>
        <v>0</v>
      </c>
      <c r="D29" s="313">
        <f>+'1A_G'!Q30</f>
        <v>0</v>
      </c>
      <c r="E29" s="59">
        <f>+'1A_G'!AA30</f>
        <v>0</v>
      </c>
      <c r="F29" s="60">
        <f>IF((C29=""),"",SUM(C29:E29))</f>
        <v>0</v>
      </c>
      <c r="G29" s="61">
        <f>+'1A_G'!AI30</f>
        <v>21</v>
      </c>
      <c r="H29" s="59">
        <f>+'1A_G'!AJ30</f>
        <v>39</v>
      </c>
      <c r="I29" s="323">
        <f>IF((F29=""),"",(G29-H29))</f>
        <v>-18</v>
      </c>
      <c r="J29" s="348">
        <f>IF(ISNA(MATCH(B29,'1A_G'!AR$25:AR$30,0)),"",INDEX('1A_G'!AQ$25:AQ$30,MATCH(B29,'1A_G'!AR$25:AR$30,0)))</f>
        <v>6</v>
      </c>
      <c r="K29" s="313">
        <f>IF((D29=""),"",IF((J29=1),6,IF((J29=2),4,IF((J29=3),2,0))))</f>
        <v>0</v>
      </c>
      <c r="L29" s="323" t="str">
        <f>IF((J29=""),"",IF(OR(J29=1,J29=4,J29=5,J29=6),"",IF(('1A_F'!$D$14=""),"",VLOOKUP(B29,'1A_C.'!$D$44:$E$51,2,0))))</f>
        <v/>
      </c>
      <c r="M29" s="59" t="str">
        <f>IF((J29=""),"",IF(OR(J29=2,J29=3,J29=4,J29=5,J29=6),"",IF(('1A_F'!$I$14=""),"",VLOOKUP(B29,'1A_C.'!$I$44:$J$47,2,0))))</f>
        <v/>
      </c>
      <c r="N29" s="313" t="str">
        <f>IF(OR(M29="",M29=0),"",VLOOKUP(B29,'1A_C.'!$N$44:$O$45,2,0))</f>
        <v/>
      </c>
      <c r="O29" s="323">
        <f>IF((E29=""),"",SUM(F29,K29,L29,M29,N29))</f>
        <v>0</v>
      </c>
      <c r="P29" s="318">
        <f>+'1A_G'!AL30</f>
        <v>0</v>
      </c>
      <c r="Q29"/>
      <c r="R29"/>
      <c r="S29"/>
      <c r="T29" s="100"/>
    </row>
    <row r="30" spans="1:20" ht="15" customHeight="1">
      <c r="B30" s="87"/>
      <c r="C30" s="1">
        <v>20</v>
      </c>
      <c r="D30" s="1">
        <v>20</v>
      </c>
      <c r="E30" s="1">
        <v>20</v>
      </c>
      <c r="F30" s="1">
        <v>60</v>
      </c>
      <c r="I30" s="1">
        <v>0</v>
      </c>
      <c r="J30" s="1">
        <v>62</v>
      </c>
      <c r="K30" s="1">
        <v>48</v>
      </c>
      <c r="L30" s="1">
        <v>8</v>
      </c>
      <c r="M30" s="1">
        <v>8</v>
      </c>
      <c r="N30" s="1">
        <v>4</v>
      </c>
      <c r="O30" s="1">
        <v>128</v>
      </c>
    </row>
    <row r="31" spans="1:20">
      <c r="C31" s="1">
        <f t="shared" ref="C31:O31" si="8">SUM(C7:C29)</f>
        <v>4</v>
      </c>
      <c r="D31" s="1">
        <f t="shared" si="8"/>
        <v>4</v>
      </c>
      <c r="E31" s="1">
        <f t="shared" si="8"/>
        <v>4</v>
      </c>
      <c r="F31" s="1">
        <f t="shared" si="8"/>
        <v>12</v>
      </c>
      <c r="G31" s="1">
        <f t="shared" si="8"/>
        <v>68</v>
      </c>
      <c r="H31" s="1">
        <f t="shared" si="8"/>
        <v>92</v>
      </c>
      <c r="I31" s="1">
        <f t="shared" si="8"/>
        <v>-24</v>
      </c>
      <c r="J31" s="1">
        <f t="shared" si="8"/>
        <v>14</v>
      </c>
      <c r="K31" s="1">
        <f t="shared" si="8"/>
        <v>12</v>
      </c>
      <c r="L31" s="1">
        <f t="shared" si="8"/>
        <v>0</v>
      </c>
      <c r="M31" s="1">
        <f t="shared" si="8"/>
        <v>0</v>
      </c>
      <c r="N31" s="1">
        <f t="shared" si="8"/>
        <v>0</v>
      </c>
      <c r="O31" s="1">
        <f t="shared" si="8"/>
        <v>24</v>
      </c>
    </row>
  </sheetData>
  <mergeCells count="11">
    <mergeCell ref="L3:O3"/>
    <mergeCell ref="C4:K4"/>
    <mergeCell ref="L4:O4"/>
    <mergeCell ref="C2:L2"/>
    <mergeCell ref="B1:K1"/>
    <mergeCell ref="C3:G3"/>
    <mergeCell ref="A7:A10"/>
    <mergeCell ref="A12:A15"/>
    <mergeCell ref="A17:A22"/>
    <mergeCell ref="A24:A29"/>
    <mergeCell ref="A3:B3"/>
  </mergeCells>
  <conditionalFormatting sqref="B12:B29">
    <cfRule type="cellIs" dxfId="16" priority="30" stopIfTrue="1" operator="equal">
      <formula>"OFFICE"</formula>
    </cfRule>
  </conditionalFormatting>
  <conditionalFormatting sqref="F7:F10">
    <cfRule type="duplicateValues" dxfId="15" priority="23" stopIfTrue="1"/>
  </conditionalFormatting>
  <conditionalFormatting sqref="F12:F15">
    <cfRule type="duplicateValues" dxfId="14" priority="22" stopIfTrue="1"/>
  </conditionalFormatting>
  <conditionalFormatting sqref="F17:F22">
    <cfRule type="duplicateValues" dxfId="13" priority="21" stopIfTrue="1"/>
  </conditionalFormatting>
  <conditionalFormatting sqref="F24:F29">
    <cfRule type="duplicateValues" dxfId="12" priority="20" stopIfTrue="1"/>
  </conditionalFormatting>
  <conditionalFormatting sqref="J7:J10 J12:J15 J17:J22 J24:J29">
    <cfRule type="cellIs" dxfId="11" priority="25" stopIfTrue="1" operator="equal">
      <formula>3</formula>
    </cfRule>
    <cfRule type="cellIs" dxfId="10" priority="26" stopIfTrue="1" operator="equal">
      <formula>2</formula>
    </cfRule>
    <cfRule type="cellIs" dxfId="9" priority="28" stopIfTrue="1" operator="equal">
      <formula>4</formula>
    </cfRule>
    <cfRule type="cellIs" dxfId="8" priority="29" stopIfTrue="1" operator="equal">
      <formula>1</formula>
    </cfRule>
  </conditionalFormatting>
  <conditionalFormatting sqref="J17:J22 J24:J29 J7:J10 J12:J15">
    <cfRule type="cellIs" dxfId="7" priority="24" stopIfTrue="1" operator="equal">
      <formula>"EGALITE PARFAITE ENTRE 3 EQUIPES"</formula>
    </cfRule>
  </conditionalFormatting>
  <conditionalFormatting sqref="J17:J22 J24:J29">
    <cfRule type="cellIs" dxfId="6" priority="1" operator="equal">
      <formula>5</formula>
    </cfRule>
    <cfRule type="cellIs" dxfId="5" priority="4" operator="equal">
      <formula>6</formula>
    </cfRule>
  </conditionalFormatting>
  <conditionalFormatting sqref="O7:O10 O12:O15 O17:O22 O24:O29">
    <cfRule type="top10" dxfId="4" priority="27" stopIfTrue="1" rank="1"/>
  </conditionalFormatting>
  <printOptions horizontalCentered="1"/>
  <pageMargins left="0.19685039370078741" right="0.19685039370078741" top="0.19685039370078741" bottom="0.13" header="0.19685039370078741" footer="0.15"/>
  <pageSetup paperSize="9" scale="98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1"/>
  <dimension ref="A1:Z51"/>
  <sheetViews>
    <sheetView topLeftCell="A19" zoomScale="80" zoomScaleNormal="80" workbookViewId="0">
      <selection activeCell="J40" sqref="J40"/>
    </sheetView>
  </sheetViews>
  <sheetFormatPr baseColWidth="10" defaultColWidth="11.42578125" defaultRowHeight="12.75"/>
  <cols>
    <col min="1" max="1" width="5.7109375" style="1" customWidth="1"/>
    <col min="2" max="2" width="6" style="1" customWidth="1"/>
    <col min="3" max="3" width="1.85546875" style="1" customWidth="1"/>
    <col min="4" max="4" width="31.140625" style="1" customWidth="1"/>
    <col min="5" max="5" width="7.28515625" style="1" customWidth="1"/>
    <col min="6" max="6" width="3.28515625" style="1" customWidth="1"/>
    <col min="7" max="7" width="8.7109375" style="1" customWidth="1"/>
    <col min="8" max="8" width="1.85546875" style="1" customWidth="1"/>
    <col min="9" max="9" width="30.5703125" style="1" customWidth="1"/>
    <col min="10" max="10" width="7.28515625" style="1" customWidth="1"/>
    <col min="11" max="11" width="3.28515625" style="1" customWidth="1"/>
    <col min="12" max="12" width="6.140625" style="1" customWidth="1"/>
    <col min="13" max="13" width="7.85546875" style="1" customWidth="1"/>
    <col min="14" max="14" width="30.42578125" style="1" customWidth="1"/>
    <col min="15" max="15" width="7.28515625" style="1" customWidth="1"/>
    <col min="16" max="21" width="9.140625" style="1" customWidth="1"/>
    <col min="22" max="22" width="16.28515625" style="1" customWidth="1"/>
    <col min="23" max="23" width="17" style="1" customWidth="1"/>
    <col min="24" max="24" width="11.42578125" style="1"/>
    <col min="25" max="25" width="14" style="1" customWidth="1"/>
    <col min="26" max="26" width="29.5703125" style="1" customWidth="1"/>
    <col min="27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5" ht="31.5" customHeight="1" thickBot="1">
      <c r="A1" s="504"/>
      <c r="B1" s="448" t="s">
        <v>67</v>
      </c>
      <c r="C1" s="449"/>
      <c r="D1" s="449"/>
      <c r="E1" s="449"/>
      <c r="F1" s="449"/>
      <c r="G1" s="449"/>
      <c r="H1" s="449"/>
      <c r="I1" s="449"/>
      <c r="J1" s="449"/>
      <c r="K1" s="450"/>
      <c r="L1" s="451" t="str">
        <f>'1A_G'!M1</f>
        <v>ALISSAS</v>
      </c>
      <c r="M1" s="452"/>
      <c r="N1" s="453"/>
    </row>
    <row r="2" spans="1:15" ht="31.5" customHeight="1" thickBot="1">
      <c r="A2" s="504"/>
      <c r="B2" s="505" t="str">
        <f>'1A_G'!C2</f>
        <v>M3      Journée  18 Equipes</v>
      </c>
      <c r="C2" s="506"/>
      <c r="D2" s="506"/>
      <c r="E2" s="506"/>
      <c r="F2" s="506"/>
      <c r="G2" s="506"/>
      <c r="H2" s="506"/>
      <c r="I2" s="506"/>
      <c r="J2" s="506"/>
      <c r="K2" s="507"/>
      <c r="L2" s="508" t="str">
        <f>+'1A_G'!M2</f>
        <v>Samedi 14/09/2024</v>
      </c>
      <c r="M2" s="509"/>
      <c r="N2" s="510"/>
    </row>
    <row r="3" spans="1:15" ht="7.9" customHeight="1" thickBot="1">
      <c r="A3" s="504"/>
    </row>
    <row r="4" spans="1:15" ht="25.5" customHeight="1" thickBot="1">
      <c r="A4" s="504"/>
      <c r="B4" s="463" t="s">
        <v>2</v>
      </c>
      <c r="C4" s="464"/>
      <c r="D4" s="464"/>
      <c r="E4" s="465"/>
      <c r="G4" s="463" t="s">
        <v>3</v>
      </c>
      <c r="H4" s="464"/>
      <c r="I4" s="464"/>
      <c r="J4" s="465"/>
      <c r="L4" s="463" t="s">
        <v>4</v>
      </c>
      <c r="M4" s="464"/>
      <c r="N4" s="464"/>
      <c r="O4" s="465"/>
    </row>
    <row r="5" spans="1:15" ht="7.9" customHeight="1">
      <c r="B5" s="2"/>
      <c r="C5" s="2"/>
      <c r="D5" s="2"/>
      <c r="E5" s="2"/>
      <c r="G5" s="2"/>
      <c r="H5" s="2"/>
      <c r="I5" s="2"/>
      <c r="J5" s="2"/>
      <c r="L5" s="2"/>
      <c r="M5" s="2"/>
      <c r="N5" s="2"/>
    </row>
    <row r="6" spans="1:15" ht="15" customHeight="1" thickBot="1">
      <c r="A6" s="3" t="s">
        <v>5</v>
      </c>
      <c r="B6" s="3" t="s">
        <v>6</v>
      </c>
      <c r="C6" s="3"/>
      <c r="D6" s="4" t="s">
        <v>7</v>
      </c>
      <c r="E6" s="4" t="s">
        <v>8</v>
      </c>
      <c r="F6" s="3"/>
      <c r="G6" s="3" t="s">
        <v>6</v>
      </c>
      <c r="H6" s="3"/>
      <c r="I6" s="4" t="s">
        <v>7</v>
      </c>
      <c r="J6" s="4" t="s">
        <v>8</v>
      </c>
      <c r="L6" s="3" t="s">
        <v>6</v>
      </c>
      <c r="M6" s="3"/>
      <c r="N6" s="4" t="s">
        <v>7</v>
      </c>
      <c r="O6" s="4" t="s">
        <v>8</v>
      </c>
    </row>
    <row r="7" spans="1:15" ht="24.95" customHeight="1" thickBot="1">
      <c r="A7" s="493">
        <v>1</v>
      </c>
      <c r="B7" s="491">
        <v>1</v>
      </c>
      <c r="C7" s="7" t="s">
        <v>11</v>
      </c>
      <c r="D7" s="5" t="str">
        <f>'1A_G'!E7</f>
        <v>CHAMP Luc</v>
      </c>
      <c r="E7" s="52" t="str">
        <f>IF(('1A_G'!F7=""),"",'1A_G'!F7)</f>
        <v/>
      </c>
      <c r="F7" s="6"/>
      <c r="G7" s="491">
        <v>5</v>
      </c>
      <c r="H7" s="7" t="s">
        <v>11</v>
      </c>
      <c r="I7" s="8" t="str">
        <f>D7</f>
        <v>CHAMP Luc</v>
      </c>
      <c r="J7" s="52">
        <f>IF(('1A_G'!O7=""),"",'1A_G'!P7)</f>
        <v>0</v>
      </c>
      <c r="K7" s="9"/>
      <c r="L7" s="491">
        <v>3</v>
      </c>
      <c r="M7" s="7" t="s">
        <v>11</v>
      </c>
      <c r="N7" s="8" t="str">
        <f>D7</f>
        <v>CHAMP Luc</v>
      </c>
      <c r="O7" s="52" t="str">
        <f>IF(('1A_G'!Z7=""),"",'1A_G'!Z7)</f>
        <v/>
      </c>
    </row>
    <row r="8" spans="1:15" ht="24.95" customHeight="1" thickBot="1">
      <c r="A8" s="494"/>
      <c r="B8" s="492"/>
      <c r="C8" s="11" t="s">
        <v>13</v>
      </c>
      <c r="D8" s="10" t="str">
        <f>'1A_G'!E8</f>
        <v xml:space="preserve">CHOSSON Benjamin </v>
      </c>
      <c r="E8" s="56" t="str">
        <f>IF(('1A_G'!F8=""),"",'1A_G'!F8)</f>
        <v/>
      </c>
      <c r="F8" s="6"/>
      <c r="G8" s="492"/>
      <c r="H8" s="11" t="s">
        <v>13</v>
      </c>
      <c r="I8" s="12" t="str">
        <f>D9</f>
        <v>ISIDORE SERGE</v>
      </c>
      <c r="J8" s="52">
        <f>IF(('1A_G'!O8=""),"",'1A_G'!P8)</f>
        <v>0</v>
      </c>
      <c r="K8" s="9"/>
      <c r="L8" s="492"/>
      <c r="M8" s="11" t="s">
        <v>13</v>
      </c>
      <c r="N8" s="12" t="str">
        <f>D10</f>
        <v>TOULOUZE Jean-louis</v>
      </c>
      <c r="O8" s="56" t="str">
        <f>IF(('1A_G'!Z8=""),"",'1A_G'!Z8)</f>
        <v/>
      </c>
    </row>
    <row r="9" spans="1:15" ht="24.95" customHeight="1" thickBot="1">
      <c r="A9" s="494"/>
      <c r="B9" s="491">
        <v>2</v>
      </c>
      <c r="C9" s="7" t="s">
        <v>14</v>
      </c>
      <c r="D9" s="5" t="str">
        <f>'1A_G'!E9</f>
        <v>ISIDORE SERGE</v>
      </c>
      <c r="E9" s="52" t="str">
        <f>IF(('1A_G'!F9=""),"",'1A_G'!F9)</f>
        <v/>
      </c>
      <c r="F9" s="6"/>
      <c r="G9" s="491">
        <v>6</v>
      </c>
      <c r="H9" s="7" t="s">
        <v>14</v>
      </c>
      <c r="I9" s="13" t="str">
        <f>D8</f>
        <v xml:space="preserve">CHOSSON Benjamin </v>
      </c>
      <c r="J9" s="52">
        <f>IF(('1A_G'!O9=""),"",'1A_G'!P9)</f>
        <v>0</v>
      </c>
      <c r="K9" s="9"/>
      <c r="L9" s="491">
        <v>4</v>
      </c>
      <c r="M9" s="7" t="s">
        <v>14</v>
      </c>
      <c r="N9" s="13" t="str">
        <f>D8</f>
        <v xml:space="preserve">CHOSSON Benjamin </v>
      </c>
      <c r="O9" s="52" t="str">
        <f>IF(('1A_G'!Z9=""),"",'1A_G'!Z9)</f>
        <v/>
      </c>
    </row>
    <row r="10" spans="1:15" ht="24.95" customHeight="1" thickBot="1">
      <c r="A10" s="495"/>
      <c r="B10" s="496"/>
      <c r="C10" s="16" t="s">
        <v>15</v>
      </c>
      <c r="D10" s="14" t="str">
        <f>'1A_G'!E10</f>
        <v>TOULOUZE Jean-louis</v>
      </c>
      <c r="E10" s="66" t="str">
        <f>IF(('1A_G'!F10=""),"",'1A_G'!F10)</f>
        <v/>
      </c>
      <c r="F10" s="15"/>
      <c r="G10" s="496"/>
      <c r="H10" s="16" t="s">
        <v>15</v>
      </c>
      <c r="I10" s="17" t="str">
        <f>D10</f>
        <v>TOULOUZE Jean-louis</v>
      </c>
      <c r="J10" s="52">
        <f>IF(('1A_G'!O10=""),"",'1A_G'!P10)</f>
        <v>0</v>
      </c>
      <c r="K10" s="18"/>
      <c r="L10" s="496"/>
      <c r="M10" s="16" t="s">
        <v>15</v>
      </c>
      <c r="N10" s="17" t="str">
        <f>D9</f>
        <v>ISIDORE SERGE</v>
      </c>
      <c r="O10" s="66" t="str">
        <f>IF(('1A_G'!Z10=""),"",'1A_G'!Z10)</f>
        <v/>
      </c>
    </row>
    <row r="11" spans="1:15" ht="24.95" customHeight="1" thickTop="1" thickBot="1">
      <c r="A11" s="497">
        <v>2</v>
      </c>
      <c r="B11" s="499">
        <v>3</v>
      </c>
      <c r="C11" s="21" t="s">
        <v>16</v>
      </c>
      <c r="D11" s="19" t="str">
        <f>'1A_G'!E11</f>
        <v>BROUSSET Lilian</v>
      </c>
      <c r="E11" s="67" t="str">
        <f>IF(('1A_G'!F11=""),"",'1A_G'!F11)</f>
        <v/>
      </c>
      <c r="F11" s="20"/>
      <c r="G11" s="499">
        <v>7</v>
      </c>
      <c r="H11" s="21" t="s">
        <v>16</v>
      </c>
      <c r="I11" s="22" t="str">
        <f>D11</f>
        <v>BROUSSET Lilian</v>
      </c>
      <c r="J11" s="52">
        <f>IF(('1A_G'!O11=""),"",'1A_G'!P11)</f>
        <v>0</v>
      </c>
      <c r="K11" s="23"/>
      <c r="L11" s="499">
        <v>1</v>
      </c>
      <c r="M11" s="21" t="s">
        <v>16</v>
      </c>
      <c r="N11" s="22" t="str">
        <f>D11</f>
        <v>BROUSSET Lilian</v>
      </c>
      <c r="O11" s="67" t="str">
        <f>IF(('1A_G'!Z11=""),"",'1A_G'!Z11)</f>
        <v/>
      </c>
    </row>
    <row r="12" spans="1:15" ht="24.95" customHeight="1" thickBot="1">
      <c r="A12" s="494"/>
      <c r="B12" s="492"/>
      <c r="C12" s="11" t="s">
        <v>18</v>
      </c>
      <c r="D12" s="10" t="str">
        <f>'1A_G'!E12</f>
        <v>GERLAND JACQUES</v>
      </c>
      <c r="E12" s="56" t="str">
        <f>IF(('1A_G'!F12=""),"",'1A_G'!F12)</f>
        <v/>
      </c>
      <c r="F12" s="6"/>
      <c r="G12" s="492"/>
      <c r="H12" s="11" t="s">
        <v>18</v>
      </c>
      <c r="I12" s="12" t="str">
        <f>D13</f>
        <v>BOURBON Stephane</v>
      </c>
      <c r="J12" s="52">
        <f>IF(('1A_G'!O12=""),"",'1A_G'!P12)</f>
        <v>0</v>
      </c>
      <c r="K12" s="9"/>
      <c r="L12" s="492"/>
      <c r="M12" s="11" t="s">
        <v>18</v>
      </c>
      <c r="N12" s="12" t="str">
        <f>D14</f>
        <v xml:space="preserve">CROZE Lilian </v>
      </c>
      <c r="O12" s="56" t="str">
        <f>IF(('1A_G'!Z12=""),"",'1A_G'!Z12)</f>
        <v/>
      </c>
    </row>
    <row r="13" spans="1:15" ht="24.95" customHeight="1" thickBot="1">
      <c r="A13" s="494"/>
      <c r="B13" s="491">
        <v>4</v>
      </c>
      <c r="C13" s="7" t="s">
        <v>19</v>
      </c>
      <c r="D13" s="5" t="str">
        <f>'1A_G'!E13</f>
        <v>BOURBON Stephane</v>
      </c>
      <c r="E13" s="52" t="str">
        <f>IF(('1A_G'!F13=""),"",'1A_G'!F13)</f>
        <v/>
      </c>
      <c r="F13" s="6"/>
      <c r="G13" s="491">
        <v>8</v>
      </c>
      <c r="H13" s="7" t="s">
        <v>19</v>
      </c>
      <c r="I13" s="13" t="str">
        <f>D12</f>
        <v>GERLAND JACQUES</v>
      </c>
      <c r="J13" s="52">
        <f>IF(('1A_G'!O13=""),"",'1A_G'!P13)</f>
        <v>0</v>
      </c>
      <c r="K13" s="9"/>
      <c r="L13" s="491">
        <v>2</v>
      </c>
      <c r="M13" s="7" t="s">
        <v>19</v>
      </c>
      <c r="N13" s="13" t="str">
        <f>D12</f>
        <v>GERLAND JACQUES</v>
      </c>
      <c r="O13" s="52" t="str">
        <f>IF(('1A_G'!Z13=""),"",'1A_G'!Z13)</f>
        <v/>
      </c>
    </row>
    <row r="14" spans="1:15" ht="24.95" customHeight="1" thickBot="1">
      <c r="A14" s="498"/>
      <c r="B14" s="492"/>
      <c r="C14" s="11" t="s">
        <v>20</v>
      </c>
      <c r="D14" s="24" t="str">
        <f>'1A_G'!E14</f>
        <v xml:space="preserve">CROZE Lilian </v>
      </c>
      <c r="E14" s="59" t="str">
        <f>IF(('1A_G'!F14=""),"",'1A_G'!F14)</f>
        <v/>
      </c>
      <c r="F14" s="25"/>
      <c r="G14" s="492"/>
      <c r="H14" s="11" t="s">
        <v>20</v>
      </c>
      <c r="I14" s="26" t="str">
        <f>D14</f>
        <v xml:space="preserve">CROZE Lilian </v>
      </c>
      <c r="J14" s="52">
        <f>IF(('1A_G'!O14=""),"",'1A_G'!P14)</f>
        <v>0</v>
      </c>
      <c r="K14" s="27"/>
      <c r="L14" s="492"/>
      <c r="M14" s="11" t="s">
        <v>20</v>
      </c>
      <c r="N14" s="26" t="str">
        <f>D13</f>
        <v>BOURBON Stephane</v>
      </c>
      <c r="O14" s="59" t="str">
        <f>IF(('1A_G'!Z14=""),"",'1A_G'!Z14)</f>
        <v/>
      </c>
    </row>
    <row r="15" spans="1:15" ht="7.9" customHeight="1">
      <c r="A15" s="28"/>
      <c r="B15" s="6"/>
      <c r="C15" s="29"/>
      <c r="D15" s="30"/>
      <c r="E15" s="31"/>
      <c r="F15" s="6"/>
      <c r="G15" s="6"/>
      <c r="H15" s="29"/>
      <c r="I15" s="32"/>
      <c r="J15" s="33"/>
      <c r="K15" s="9"/>
      <c r="L15" s="6"/>
      <c r="M15" s="29"/>
      <c r="N15" s="32"/>
      <c r="O15" s="33"/>
    </row>
    <row r="16" spans="1:15" ht="15" customHeight="1">
      <c r="B16" s="6"/>
      <c r="C16" s="35"/>
      <c r="D16" s="2"/>
      <c r="E16" s="31">
        <f>SUM(E7:E14)</f>
        <v>0</v>
      </c>
      <c r="F16" s="6"/>
      <c r="G16" s="6"/>
      <c r="H16" s="35"/>
      <c r="I16" s="2"/>
      <c r="J16" s="31">
        <f>SUM(J7:J14)</f>
        <v>0</v>
      </c>
      <c r="O16" s="1">
        <f>SUM(O7:O14)</f>
        <v>0</v>
      </c>
    </row>
    <row r="17" spans="2:26" ht="40.15" customHeight="1" thickBot="1">
      <c r="E17" s="1" t="s">
        <v>36</v>
      </c>
      <c r="G17" s="1" t="s">
        <v>37</v>
      </c>
      <c r="I17" s="1" t="s">
        <v>38</v>
      </c>
      <c r="J17" s="1" t="s">
        <v>26</v>
      </c>
      <c r="L17" s="1" t="s">
        <v>39</v>
      </c>
      <c r="M17" s="1" t="s">
        <v>90</v>
      </c>
      <c r="N17" s="1" t="s">
        <v>40</v>
      </c>
      <c r="P17" s="3" t="s">
        <v>41</v>
      </c>
      <c r="Q17" s="3"/>
      <c r="R17" s="3" t="s">
        <v>42</v>
      </c>
      <c r="S17" s="3"/>
      <c r="T17" s="3" t="s">
        <v>30</v>
      </c>
      <c r="U17" s="3" t="s">
        <v>43</v>
      </c>
      <c r="V17" s="3" t="s">
        <v>44</v>
      </c>
      <c r="W17" s="3" t="s">
        <v>45</v>
      </c>
    </row>
    <row r="18" spans="2:26" ht="19.149999999999999" customHeight="1" thickBot="1">
      <c r="D18" s="5" t="str">
        <f t="shared" ref="D18:D25" si="0">D7</f>
        <v>CHAMP Luc</v>
      </c>
      <c r="E18" s="68" t="str">
        <f>IF((E8=""),"",IF((E7&gt;E8),2,0))</f>
        <v/>
      </c>
      <c r="G18" s="69">
        <f>IF((J8=""),"",IF((J7&gt;J8),2,0))</f>
        <v>0</v>
      </c>
      <c r="I18" s="70" t="str">
        <f>IF((O8=""),"",IF((O7&gt;O8),2,0))</f>
        <v/>
      </c>
      <c r="J18" s="1">
        <f t="shared" ref="J18:J25" si="1">SUM(E18,G18,I18)</f>
        <v>0</v>
      </c>
      <c r="L18" s="1">
        <f>SUM(E7,J7,O7)</f>
        <v>0</v>
      </c>
      <c r="M18" s="1">
        <f>L18-N18</f>
        <v>0</v>
      </c>
      <c r="N18" s="1">
        <f>SUM(E8,J8,O8)</f>
        <v>0</v>
      </c>
      <c r="O18" s="1">
        <f>RANK(J18,$J$18:$J$21)+RANK(M18,$M$18:$M$21)/10+RANK(L18,$L$18:$L$21)/100+RANK(N18,$N$18:$N$21,1)/100</f>
        <v>1.1200000000000001</v>
      </c>
      <c r="P18" s="1" t="str">
        <f>IF(AND(COUNTIF(J18:J21,4)=2,COUNTIF(J18:J21,2)=2),"OUI","NON")</f>
        <v>NON</v>
      </c>
      <c r="Q18" s="1" t="str">
        <f>IF((P18="NON"),"",IF((J18=J19),IF((E18=2),1,0),IF((J18=J20),IF((G18=2),1,0),IF((J18=J21),IF((I18=2),1,0)))))</f>
        <v/>
      </c>
      <c r="R18" s="1" t="str">
        <f>IF(OR(COUNTIF(J18:J21,4)=3,COUNTIF(J18:J21,2)=3),"OUI","NON")</f>
        <v>NON</v>
      </c>
      <c r="S18" s="1">
        <f>IF(AND(P18="OUI",R18="NON"),SUM(J18,Q18),(J18-O18))</f>
        <v>-1.1200000000000001</v>
      </c>
      <c r="T18" s="71" t="str">
        <f>IF((O10=""),"",RANK(S18,$S$18:$S$21))</f>
        <v/>
      </c>
      <c r="U18" s="1" t="str">
        <f>IF((R18="NON"),"NON",IF((R18="OUI"),IF(OR(COUNTIF(T18:T21,1)=2,COUNTIF(T18:T21,2)=2,COUNTIF(T18:T21,3)=2),"OUI","NON")))</f>
        <v>NON</v>
      </c>
      <c r="V18" s="1" t="str">
        <f>IF((R18="NON"),"NON",IF((R18="OUI"),IF(OR(COUNTIF(T18:T21,1)=3,COUNTIF(T18:T21,2)=3),"OUI","NON")))</f>
        <v>NON</v>
      </c>
      <c r="W18" s="1" t="str">
        <f>IF((U18="NON"),"",IF((COUNTIF($O$18:$O$21,O18)=1),"",IF((O18=O19),IF((E18=2),1,0),IF((O18=O20),IF((G18=2),1,0),IF((O18=O21),IF((I18=2),1,0))))))</f>
        <v/>
      </c>
      <c r="X18" s="1">
        <f t="shared" ref="X18:X25" si="2">IF((W18=""),S18,(S18+(W18/1000)))</f>
        <v>-1.1200000000000001</v>
      </c>
      <c r="Y18" s="1" t="str">
        <f>IF((U$18="OUI"),RANK(X18,$X$18:$X$21),IF(AND(U$18="NON",V$18="NON"),T18,IF((V$18="OUI"),'1A_Cl'!P7)))</f>
        <v/>
      </c>
      <c r="Z18" s="1" t="str">
        <f t="shared" ref="Z18:Z25" si="3">D18</f>
        <v>CHAMP Luc</v>
      </c>
    </row>
    <row r="19" spans="2:26" ht="19.149999999999999" customHeight="1" thickBot="1">
      <c r="D19" s="5" t="str">
        <f t="shared" si="0"/>
        <v xml:space="preserve">CHOSSON Benjamin </v>
      </c>
      <c r="E19" s="72" t="str">
        <f>IF((E8=""),"",IF((E7&gt;E8),0,2))</f>
        <v/>
      </c>
      <c r="G19" s="73">
        <f>IF((J10=""),"",IF((J9&gt;J10),2,0))</f>
        <v>0</v>
      </c>
      <c r="I19" s="70" t="str">
        <f>IF((O10=""),"",IF((O9&gt;O10),2,0))</f>
        <v/>
      </c>
      <c r="J19" s="1">
        <f t="shared" si="1"/>
        <v>0</v>
      </c>
      <c r="L19" s="1">
        <f>SUM(E8,J9,O9)</f>
        <v>0</v>
      </c>
      <c r="M19" s="1">
        <f t="shared" ref="M19:M25" si="4">L19-N19</f>
        <v>0</v>
      </c>
      <c r="N19" s="1">
        <f>SUM(E7,J10,O10)</f>
        <v>0</v>
      </c>
      <c r="O19" s="1">
        <f>RANK(J19,$J$18:$J$21)+RANK(M19,$M$18:$M$21)/10+RANK(L19,$L$18:$L$21)/100+RANK(N19,$N$18:$N$21,1)/100</f>
        <v>1.1200000000000001</v>
      </c>
      <c r="Q19" s="1" t="str">
        <f>IF((P18="NON"),"",IF((J19=J18),IF((E19=2),1,0),IF((J19=J21),IF((G19=2),1,0),IF((J19=J20),IF((I19=2),1,0)))))</f>
        <v/>
      </c>
      <c r="S19" s="1">
        <f>IF(AND(P18="OUI",R18="NON"),SUM(J19,Q19),(J19-O19))</f>
        <v>-1.1200000000000001</v>
      </c>
      <c r="T19" s="71" t="str">
        <f>IF((O10=""),"",RANK(S19,$S$18:$S$21))</f>
        <v/>
      </c>
      <c r="W19" s="1" t="str">
        <f>IF((U18="NON"),"",IF((COUNTIF($O$18:$O$21,O19)=1),"",IF((O19=O18),IF((E19=2),1,0),IF((O19=O21),IF((G19=2),1,0),IF((O19=O20),IF((I19=2),1,0))))))</f>
        <v/>
      </c>
      <c r="X19" s="1">
        <f t="shared" si="2"/>
        <v>-1.1200000000000001</v>
      </c>
      <c r="Y19" s="1" t="str">
        <f>IF((U$18="OUI"),RANK(X19,$X$18:$X$21),IF(AND(U$18="NON",V$18="NON"),T19,IF((V$18="OUI"),'1A_Cl'!P8)))</f>
        <v/>
      </c>
      <c r="Z19" s="1" t="str">
        <f t="shared" si="3"/>
        <v xml:space="preserve">CHOSSON Benjamin </v>
      </c>
    </row>
    <row r="20" spans="2:26" ht="19.149999999999999" customHeight="1" thickBot="1">
      <c r="D20" s="5" t="str">
        <f t="shared" si="0"/>
        <v>ISIDORE SERGE</v>
      </c>
      <c r="E20" s="72" t="str">
        <f>IF((E10=""),"",IF((E9&gt;E10),2,0))</f>
        <v/>
      </c>
      <c r="G20" s="73">
        <f>IF((J8=""),"",IF((J8&gt;J7),2,0))</f>
        <v>0</v>
      </c>
      <c r="I20" s="70" t="str">
        <f>IF((O10=""),"",IF((O10&gt;O9),2,0))</f>
        <v/>
      </c>
      <c r="J20" s="1">
        <f t="shared" si="1"/>
        <v>0</v>
      </c>
      <c r="L20" s="1">
        <f>SUM(E9,J8,O10)</f>
        <v>0</v>
      </c>
      <c r="M20" s="1">
        <f t="shared" si="4"/>
        <v>0</v>
      </c>
      <c r="N20" s="1">
        <f>SUM(E10,J7,O9)</f>
        <v>0</v>
      </c>
      <c r="O20" s="1">
        <f>RANK(J20,$J$18:$J$21)+RANK(M20,$M$18:$M$21)/10+RANK(L20,$L$18:$L$21)/100+RANK(N20,$N$18:$N$21,1)/100</f>
        <v>1.1200000000000001</v>
      </c>
      <c r="Q20" s="1" t="str">
        <f>IF((P18="NON"),"",IF((J20=J21),IF((E20=2),1,0),IF((J20=J18),IF((G20=2),1,0),IF((J20=J19),IF((I20=2),1,0)))))</f>
        <v/>
      </c>
      <c r="S20" s="1">
        <f>IF(AND(P18="OUI",R18="NON"),SUM(J20,Q20),(J20-O20))</f>
        <v>-1.1200000000000001</v>
      </c>
      <c r="T20" s="71" t="str">
        <f>IF((O10=""),"",RANK(S20,$S$18:$S$21))</f>
        <v/>
      </c>
      <c r="W20" s="1" t="str">
        <f>IF((U18="NON"),"",IF((COUNTIF($O$18:$O$21,O20)=1),"",IF((O20=O21),IF((E20=2),1,0),IF((O20=O18),IF((G20=2),1,0),IF((O20=O19),IF((I20=2),1,0))))))</f>
        <v/>
      </c>
      <c r="X20" s="1">
        <f t="shared" si="2"/>
        <v>-1.1200000000000001</v>
      </c>
      <c r="Y20" s="1" t="str">
        <f>IF((U$18="OUI"),RANK(X20,$X$18:$X$21),IF(AND(U$18="NON",V$18="NON"),T20,IF((V$18="OUI"),'1A_Cl'!P9)))</f>
        <v/>
      </c>
      <c r="Z20" s="1" t="str">
        <f t="shared" si="3"/>
        <v>ISIDORE SERGE</v>
      </c>
    </row>
    <row r="21" spans="2:26" ht="19.149999999999999" customHeight="1" thickBot="1">
      <c r="D21" s="74" t="str">
        <f t="shared" si="0"/>
        <v>TOULOUZE Jean-louis</v>
      </c>
      <c r="E21" s="75" t="str">
        <f>IF((E10=""),"",IF((E9&gt;E10),0,2))</f>
        <v/>
      </c>
      <c r="F21" s="76"/>
      <c r="G21" s="77">
        <f>IF((J10=""),"",IF((J10&gt;J9),2,0))</f>
        <v>0</v>
      </c>
      <c r="H21" s="76"/>
      <c r="I21" s="78" t="str">
        <f>IF((O8=""),"",IF((O8&gt;O7),2,0))</f>
        <v/>
      </c>
      <c r="J21" s="76">
        <f t="shared" si="1"/>
        <v>0</v>
      </c>
      <c r="K21" s="76"/>
      <c r="L21" s="76">
        <f>SUM(E10,J10,O8)</f>
        <v>0</v>
      </c>
      <c r="M21" s="1">
        <f t="shared" si="4"/>
        <v>0</v>
      </c>
      <c r="N21" s="76">
        <f>SUM(E9,J9,O7)</f>
        <v>0</v>
      </c>
      <c r="O21" s="1">
        <f>RANK(J21,$J$18:$J$21)+RANK(M21,$M$18:$M$21)/10+RANK(L21,$L$18:$L$21)/100+RANK(N21,$N$18:$N$21,1)/100</f>
        <v>1.1200000000000001</v>
      </c>
      <c r="P21" s="76"/>
      <c r="Q21" s="76" t="str">
        <f>IF((P18="NON"),"",IF((J21=J20),IF((E21=2),1,0),IF((J21=J19),IF((G21=2),1,0),IF((J21=J18),IF((I21=2),1,0)))))</f>
        <v/>
      </c>
      <c r="R21" s="76"/>
      <c r="S21" s="76">
        <f>IF(AND(P18="OUI",R18="NON"),SUM(J21,Q21),(J21-O21))</f>
        <v>-1.1200000000000001</v>
      </c>
      <c r="T21" s="79" t="str">
        <f>IF((O10=""),"",RANK(S21,$S$18:$S$21))</f>
        <v/>
      </c>
      <c r="U21" s="76"/>
      <c r="V21" s="76"/>
      <c r="W21" s="76" t="str">
        <f>IF((U18="NON"),"",IF((COUNTIF($O$18:$O$21,O21)=1),"",IF((O21=O20),IF((E21=2),1,0),IF((O21=O19),IF((G21=2),1,0),IF((O21=O18),IF((I21=2),1,0))))))</f>
        <v/>
      </c>
      <c r="X21" s="76">
        <f t="shared" si="2"/>
        <v>-1.1200000000000001</v>
      </c>
      <c r="Y21" s="85" t="str">
        <f>IF((U$18="OUI"),RANK(X21,$X$18:$X$21),IF(AND(U$18="NON",V$18="NON"),T21,IF((V$18="OUI"),'1A_Cl'!P10)))</f>
        <v/>
      </c>
      <c r="Z21" s="76" t="str">
        <f t="shared" si="3"/>
        <v>TOULOUZE Jean-louis</v>
      </c>
    </row>
    <row r="22" spans="2:26" ht="19.149999999999999" customHeight="1" thickTop="1" thickBot="1">
      <c r="D22" s="19" t="str">
        <f t="shared" si="0"/>
        <v>BROUSSET Lilian</v>
      </c>
      <c r="E22" s="80" t="str">
        <f>IF((E12=""),"",IF((E11&gt;E12),2,0))</f>
        <v/>
      </c>
      <c r="G22" s="81">
        <f>IF((J12=""),"",IF((J11&gt;J12),2,0))</f>
        <v>0</v>
      </c>
      <c r="I22" s="82" t="str">
        <f>IF((O12=""),"",IF((O11&gt;O12),2,0))</f>
        <v/>
      </c>
      <c r="J22" s="1">
        <f t="shared" si="1"/>
        <v>0</v>
      </c>
      <c r="L22" s="1">
        <f>SUM(E11,J11,O11)</f>
        <v>0</v>
      </c>
      <c r="M22" s="1">
        <f>L22-N22</f>
        <v>0</v>
      </c>
      <c r="N22" s="1">
        <f>SUM(E12,J12,O12)</f>
        <v>0</v>
      </c>
      <c r="O22" s="1">
        <f>RANK(J22,$J$22:$J$25)+RANK(M22,$M$22:$M$25)/10+RANK(L22,$L$22:$L$25)/100+RANK(N22,$N$22:$N$25,1)/100</f>
        <v>1.1200000000000001</v>
      </c>
      <c r="P22" s="1" t="str">
        <f>IF(AND(COUNTIF(J22:J25,4)=2,COUNTIF(J22:J25,2)=2),"OUI","NON")</f>
        <v>NON</v>
      </c>
      <c r="Q22" s="83" t="str">
        <f>IF((P22="NON"),"",IF((J22=J23),IF((E22=2),1,0),IF((J22=J24),IF((G22=2),1,0),IF((J22=J25),IF((I22=2),1,0)))))</f>
        <v/>
      </c>
      <c r="R22" s="1" t="str">
        <f>IF(OR(COUNTIF(J22:J25,4)=3,COUNTIF(J22:J25,2)=3),"OUI","NON")</f>
        <v>NON</v>
      </c>
      <c r="S22" s="1">
        <f>IF(AND(P22="OUI",R22="NON"),SUM(J22,Q22),(J22-O22))</f>
        <v>-1.1200000000000001</v>
      </c>
      <c r="T22" s="71" t="str">
        <f>IF((O14=""),"",RANK(S22,$S$22:$S$25))</f>
        <v/>
      </c>
      <c r="U22" s="1" t="str">
        <f>IF((R22="NON"),"NON",IF((R22="OUI"),IF(OR(COUNTIF(T22:T25,1)=2,COUNTIF(T22:T25,2)=2,COUNTIF(T22:T25,3)=2),"OUI","NON")))</f>
        <v>NON</v>
      </c>
      <c r="V22" s="1" t="str">
        <f>IF((R22="NON"),"NON",IF((R22="OUI"),IF(OR(COUNTIF(T22:T25,1)=3,COUNTIF(T22:T25,2)=3),"OUI","NON")))</f>
        <v>NON</v>
      </c>
      <c r="W22" s="1" t="str">
        <f>IF((U22="NON"),"",IF((COUNTIF($O$22:$O$25,O22)=1),"",IF((O22=O23),IF((E22=2),1,0),IF((O22=O24),IF((G22=2),1,0),IF((O22=O25),IF((I22=2),1,0))))))</f>
        <v/>
      </c>
      <c r="X22" s="1">
        <f t="shared" si="2"/>
        <v>-1.1200000000000001</v>
      </c>
      <c r="Y22" s="1" t="str">
        <f>IF((U$22="OUI"),RANK(X22,$X$22:$X$25),IF(AND(U$22="NON",V$22="NON"),T22,IF((V$22="OUI"),'1A_Cl'!P12)))</f>
        <v/>
      </c>
      <c r="Z22" s="1" t="str">
        <f t="shared" si="3"/>
        <v>BROUSSET Lilian</v>
      </c>
    </row>
    <row r="23" spans="2:26" ht="19.149999999999999" customHeight="1" thickBot="1">
      <c r="D23" s="5" t="str">
        <f t="shared" si="0"/>
        <v>GERLAND JACQUES</v>
      </c>
      <c r="E23" s="72" t="str">
        <f>IF((E12=""),"",IF((E11&gt;E12),0,2))</f>
        <v/>
      </c>
      <c r="G23" s="73">
        <f>IF((J14=""),"",IF((J13&gt;J14),2,0))</f>
        <v>0</v>
      </c>
      <c r="I23" s="70" t="str">
        <f>IF((O14=""),"",IF((O13&gt;O14),2,0))</f>
        <v/>
      </c>
      <c r="J23" s="1">
        <f t="shared" si="1"/>
        <v>0</v>
      </c>
      <c r="L23" s="1">
        <f>SUM(E12,J13,O13)</f>
        <v>0</v>
      </c>
      <c r="M23" s="1">
        <f t="shared" si="4"/>
        <v>0</v>
      </c>
      <c r="N23" s="1">
        <f>SUM(E11,J14,O14)</f>
        <v>0</v>
      </c>
      <c r="O23" s="1">
        <f>RANK(J23,$J$22:$J$25)+RANK(M23,$M$22:$M$25)/10+RANK(L23,$L$22:$L$25)/100+RANK(N23,$N$22:$N$25,1)/100</f>
        <v>1.1200000000000001</v>
      </c>
      <c r="Q23" s="1" t="str">
        <f>IF((P22="NON"),"",IF((J23=J22),IF((E23=2),1,0),IF((J23=J25),IF((G23=2),1,0),IF((J23=J24),IF((I23=2),1,0)))))</f>
        <v/>
      </c>
      <c r="S23" s="1">
        <f>IF(AND(P22="OUI",R22="NON"),SUM(J23,Q23),(J23-O23))</f>
        <v>-1.1200000000000001</v>
      </c>
      <c r="T23" s="71" t="str">
        <f>IF((O14=""),"",RANK(S23,$S$22:$S$25))</f>
        <v/>
      </c>
      <c r="W23" s="1" t="str">
        <f>IF((U22="NON"),"",IF((COUNTIF($O$22:$O$25,O23)=1),"",IF((O23=O22),IF((E23=2),1,0),IF((O23=O25),IF((G23=2),1,0),IF((O23=O24),IF((I23=2),1,0))))))</f>
        <v/>
      </c>
      <c r="X23" s="1">
        <f t="shared" si="2"/>
        <v>-1.1200000000000001</v>
      </c>
      <c r="Y23" s="1" t="str">
        <f>IF((U$22="OUI"),RANK(X23,$X$22:$X$25),IF(AND(U$22="NON",V$22="NON"),T23,IF((V$22="OUI"),'1A_Cl'!P13)))</f>
        <v/>
      </c>
      <c r="Z23" s="1" t="str">
        <f t="shared" si="3"/>
        <v>GERLAND JACQUES</v>
      </c>
    </row>
    <row r="24" spans="2:26" ht="19.149999999999999" customHeight="1" thickBot="1">
      <c r="D24" s="5" t="str">
        <f t="shared" si="0"/>
        <v>BOURBON Stephane</v>
      </c>
      <c r="E24" s="72" t="str">
        <f>IF((E14=""),"",IF((E13&gt;E14),2,0))</f>
        <v/>
      </c>
      <c r="G24" s="73">
        <f>IF((J12=""),"",IF((J12&gt;J11),2,0))</f>
        <v>0</v>
      </c>
      <c r="I24" s="70" t="str">
        <f>IF((O14=""),"",IF((O14&gt;O13),2,0))</f>
        <v/>
      </c>
      <c r="J24" s="1">
        <f t="shared" si="1"/>
        <v>0</v>
      </c>
      <c r="L24" s="1">
        <f>SUM(E13,J12,O14)</f>
        <v>0</v>
      </c>
      <c r="M24" s="1">
        <f t="shared" si="4"/>
        <v>0</v>
      </c>
      <c r="N24" s="1">
        <f>SUM(E14,J11,O13)</f>
        <v>0</v>
      </c>
      <c r="O24" s="1">
        <f>RANK(J24,$J$22:$J$25)+RANK(M24,$M$22:$M$25)/10+RANK(L24,$L$22:$L$25)/100+RANK(N24,$N$22:$N$25,1)/100</f>
        <v>1.1200000000000001</v>
      </c>
      <c r="Q24" s="1" t="str">
        <f>IF((P22="NON"),"",IF((J24=J25),IF((E24=2),1,0),IF((J24=J22),IF((G24=2),1,0),IF((J24=J23),IF((I24=2),1,0)))))</f>
        <v/>
      </c>
      <c r="S24" s="1">
        <f>IF(AND(P22="OUI",R22="NON"),SUM(J24,Q24),(J24-O24))</f>
        <v>-1.1200000000000001</v>
      </c>
      <c r="T24" s="71" t="str">
        <f>IF((O14=""),"",RANK(S24,$S$22:$S$25))</f>
        <v/>
      </c>
      <c r="W24" s="1" t="str">
        <f>IF((U22="NON"),"",IF((COUNTIF($O$22:$O$25,O24)=1),"",IF((O24=O25),IF((E24=2),1,0),IF((O24=O22),IF((G24=2),1,0),IF((O24=O23),IF((I24=2),1,0))))))</f>
        <v/>
      </c>
      <c r="X24" s="1">
        <f t="shared" si="2"/>
        <v>-1.1200000000000001</v>
      </c>
      <c r="Y24" s="1" t="str">
        <f>IF((U$22="OUI"),RANK(X24,$X$22:$X$25),IF(AND(U$22="NON",V$22="NON"),T24,IF((V$22="OUI"),'1A_Cl'!P14)))</f>
        <v/>
      </c>
      <c r="Z24" s="1" t="str">
        <f t="shared" si="3"/>
        <v>BOURBON Stephane</v>
      </c>
    </row>
    <row r="25" spans="2:26" ht="19.149999999999999" customHeight="1" thickBot="1">
      <c r="D25" s="74" t="str">
        <f t="shared" si="0"/>
        <v xml:space="preserve">CROZE Lilian </v>
      </c>
      <c r="E25" s="75" t="str">
        <f>IF((E14=""),"",IF((E13&gt;E14),0,2))</f>
        <v/>
      </c>
      <c r="F25" s="76"/>
      <c r="G25" s="77">
        <f>IF((J14=""),"",IF((J14&gt;J13),2,0))</f>
        <v>0</v>
      </c>
      <c r="H25" s="76"/>
      <c r="I25" s="78" t="str">
        <f>IF((O12=""),"",IF((O12&gt;O11),2,0))</f>
        <v/>
      </c>
      <c r="J25" s="76">
        <f t="shared" si="1"/>
        <v>0</v>
      </c>
      <c r="K25" s="76"/>
      <c r="L25" s="76">
        <f>SUM(E14,J14,O12)</f>
        <v>0</v>
      </c>
      <c r="M25" s="1">
        <f t="shared" si="4"/>
        <v>0</v>
      </c>
      <c r="N25" s="76">
        <f>SUM(E13,J13,O11)</f>
        <v>0</v>
      </c>
      <c r="O25" s="1">
        <f>RANK(J25,$J$22:$J$25)+RANK(M25,$M$22:$M$25)/10+RANK(L25,$L$22:$L$25)/100+RANK(N25,$N$22:$N$25,1)/100</f>
        <v>1.1200000000000001</v>
      </c>
      <c r="P25" s="76"/>
      <c r="Q25" s="76" t="str">
        <f>IF((P22="NON"),"",IF((J25=J24),IF((E25=2),1,0),IF((J25=J23),IF((G25=2),1,0),IF((J25=J22),IF((I25=2),1,0)))))</f>
        <v/>
      </c>
      <c r="R25" s="76"/>
      <c r="S25" s="76">
        <f>IF(AND(P22="OUI",R22="NON"),SUM(J25,Q25),(J25-O25))</f>
        <v>-1.1200000000000001</v>
      </c>
      <c r="T25" s="79" t="str">
        <f>IF((O14=""),"",RANK(S25,$S$22:$S$25))</f>
        <v/>
      </c>
      <c r="U25" s="76"/>
      <c r="V25" s="76"/>
      <c r="W25" s="76" t="str">
        <f>IF((U22="NON"),"",IF((COUNTIF($O$22:$O$25,O25)=1),"",IF((O25=O24),IF((E25=2),1,0),IF((O25=O23),IF((G25=2),1,0),IF((O25=O22),IF((I25=2),1,0))))))</f>
        <v/>
      </c>
      <c r="X25" s="76">
        <f t="shared" si="2"/>
        <v>-1.1200000000000001</v>
      </c>
      <c r="Y25" s="1" t="str">
        <f>IF((U$22="OUI"),RANK(X25,$X$22:$X$25),IF(AND(U$22="NON",V$22="NON"),T25,IF((V$22="OUI"),'1A_Cl'!P15)))</f>
        <v/>
      </c>
      <c r="Z25" s="76" t="str">
        <f t="shared" si="3"/>
        <v xml:space="preserve">CROZE Lilian </v>
      </c>
    </row>
    <row r="26" spans="2:26" ht="27.75" customHeight="1" thickTop="1" thickBot="1">
      <c r="D26" s="10"/>
      <c r="E26" s="84">
        <f>SUM(E18:E25)</f>
        <v>0</v>
      </c>
      <c r="G26" s="85">
        <f>SUM(G18:G25)</f>
        <v>0</v>
      </c>
      <c r="I26" s="84">
        <f>SUM(I18:I25)</f>
        <v>0</v>
      </c>
      <c r="J26" s="1">
        <f>SUM(J18:J25)</f>
        <v>0</v>
      </c>
      <c r="L26" s="1">
        <f>SUM(L18:L25)</f>
        <v>0</v>
      </c>
      <c r="M26" s="1">
        <f>SUM(M18:M25)</f>
        <v>0</v>
      </c>
      <c r="N26" s="1">
        <f>SUM(N18:N25)</f>
        <v>0</v>
      </c>
      <c r="T26" s="71"/>
    </row>
    <row r="27" spans="2:26" ht="13.5" thickBot="1"/>
    <row r="28" spans="2:26" ht="31.5" customHeight="1" thickBot="1">
      <c r="B28" s="500" t="s">
        <v>0</v>
      </c>
      <c r="C28" s="500"/>
      <c r="D28" s="500"/>
      <c r="E28" s="500"/>
      <c r="F28" s="500"/>
      <c r="G28" s="500"/>
      <c r="H28" s="500"/>
      <c r="I28" s="500"/>
      <c r="J28" s="500"/>
      <c r="K28" s="501"/>
      <c r="L28" s="451" t="str">
        <f>L1</f>
        <v>ALISSAS</v>
      </c>
      <c r="M28" s="452"/>
      <c r="N28" s="453"/>
    </row>
    <row r="29" spans="2:26" ht="31.5" customHeight="1">
      <c r="B29" s="502" t="s">
        <v>1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3"/>
      <c r="M29" s="503"/>
      <c r="N29" s="503"/>
    </row>
    <row r="30" spans="2:26" ht="7.9" customHeight="1" thickBot="1"/>
    <row r="31" spans="2:26" ht="25.5" customHeight="1" thickBot="1">
      <c r="B31" s="460" t="s">
        <v>46</v>
      </c>
      <c r="C31" s="461"/>
      <c r="D31" s="461"/>
      <c r="E31" s="462"/>
      <c r="G31" s="463" t="s">
        <v>47</v>
      </c>
      <c r="H31" s="464"/>
      <c r="I31" s="464"/>
      <c r="J31" s="465"/>
    </row>
    <row r="32" spans="2:26" ht="7.9" customHeight="1">
      <c r="B32" s="2"/>
      <c r="C32" s="2"/>
      <c r="D32" s="2"/>
      <c r="E32" s="2"/>
      <c r="G32" s="2"/>
      <c r="H32" s="2"/>
      <c r="I32" s="2"/>
      <c r="J32" s="2"/>
    </row>
    <row r="33" spans="1:15" ht="15" customHeight="1" thickBot="1">
      <c r="A33" s="3" t="s">
        <v>5</v>
      </c>
      <c r="B33" s="3" t="s">
        <v>6</v>
      </c>
      <c r="C33" s="3"/>
      <c r="D33" s="4" t="s">
        <v>7</v>
      </c>
      <c r="E33" s="4" t="s">
        <v>8</v>
      </c>
      <c r="F33" s="3"/>
      <c r="G33" s="3" t="s">
        <v>6</v>
      </c>
      <c r="H33" s="3"/>
      <c r="I33" s="4" t="s">
        <v>7</v>
      </c>
      <c r="J33" s="4" t="s">
        <v>8</v>
      </c>
    </row>
    <row r="34" spans="1:15" ht="24.95" customHeight="1" thickBot="1">
      <c r="A34" s="493">
        <v>1</v>
      </c>
      <c r="B34" s="491">
        <v>1</v>
      </c>
      <c r="C34" s="7" t="s">
        <v>11</v>
      </c>
      <c r="D34" s="5" t="str">
        <f>'1A_F'!C7</f>
        <v>2ème Groupe 1</v>
      </c>
      <c r="E34" s="52">
        <f>'1A_F'!D7</f>
        <v>0</v>
      </c>
      <c r="F34" s="6"/>
      <c r="G34" s="491">
        <v>7</v>
      </c>
      <c r="H34" s="7" t="s">
        <v>11</v>
      </c>
      <c r="I34" s="8" t="str">
        <f>'1A_F'!H7</f>
        <v>1er Groupe 1</v>
      </c>
      <c r="J34" s="54">
        <f>'1A_F'!I7</f>
        <v>0</v>
      </c>
      <c r="K34" s="9"/>
      <c r="L34" s="463" t="s">
        <v>48</v>
      </c>
      <c r="M34" s="464"/>
      <c r="N34" s="464"/>
      <c r="O34" s="465"/>
    </row>
    <row r="35" spans="1:15" ht="24.95" customHeight="1" thickBot="1">
      <c r="A35" s="494"/>
      <c r="B35" s="492"/>
      <c r="C35" s="11" t="s">
        <v>13</v>
      </c>
      <c r="D35" s="24" t="str">
        <f>'1A_F'!C8</f>
        <v>3ème Groupe 2</v>
      </c>
      <c r="E35" s="59">
        <f>'1A_F'!D8</f>
        <v>0</v>
      </c>
      <c r="F35" s="6"/>
      <c r="G35" s="492"/>
      <c r="H35" s="11" t="s">
        <v>13</v>
      </c>
      <c r="I35" s="12" t="str">
        <f>'1A_F'!H8</f>
        <v>1er Groupe 2</v>
      </c>
      <c r="J35" s="61">
        <f>'1A_F'!I8</f>
        <v>0</v>
      </c>
      <c r="K35" s="9"/>
    </row>
    <row r="36" spans="1:15" ht="24.95" customHeight="1" thickBot="1">
      <c r="A36" s="494"/>
      <c r="B36" s="491">
        <v>2</v>
      </c>
      <c r="C36" s="7" t="s">
        <v>14</v>
      </c>
      <c r="D36" s="19" t="str">
        <f>'1A_F'!C9</f>
        <v xml:space="preserve"> </v>
      </c>
      <c r="E36" s="52">
        <f>'1A_F'!D9</f>
        <v>0</v>
      </c>
      <c r="F36" s="6"/>
      <c r="G36" s="36"/>
      <c r="H36" s="37"/>
      <c r="I36" s="38"/>
      <c r="J36" s="33"/>
      <c r="K36" s="9"/>
      <c r="L36" s="3" t="s">
        <v>6</v>
      </c>
      <c r="M36" s="3"/>
      <c r="N36" s="4" t="s">
        <v>7</v>
      </c>
      <c r="O36" s="4" t="s">
        <v>8</v>
      </c>
    </row>
    <row r="37" spans="1:15" ht="24.95" customHeight="1" thickBot="1">
      <c r="A37" s="495"/>
      <c r="B37" s="496"/>
      <c r="C37" s="16" t="s">
        <v>15</v>
      </c>
      <c r="D37" s="14" t="str">
        <f>'1A_F'!C10</f>
        <v xml:space="preserve"> </v>
      </c>
      <c r="E37" s="66">
        <f>'1A_F'!D10</f>
        <v>0</v>
      </c>
      <c r="F37" s="39"/>
      <c r="G37" s="40"/>
      <c r="H37" s="29"/>
      <c r="I37" s="32"/>
      <c r="J37" s="33"/>
      <c r="K37" s="34"/>
      <c r="L37" s="491">
        <v>7</v>
      </c>
      <c r="M37" s="7" t="s">
        <v>11</v>
      </c>
      <c r="N37" s="8" t="str">
        <f>'1A_F'!M10</f>
        <v/>
      </c>
      <c r="O37" s="54">
        <f>'1A_F'!N10</f>
        <v>0</v>
      </c>
    </row>
    <row r="38" spans="1:15" ht="24.95" customHeight="1" thickTop="1" thickBot="1">
      <c r="A38" s="497">
        <v>2</v>
      </c>
      <c r="B38" s="499">
        <v>3</v>
      </c>
      <c r="C38" s="21" t="s">
        <v>16</v>
      </c>
      <c r="D38" s="5" t="str">
        <f>'1A_F'!C11</f>
        <v>3ème Groupe 1</v>
      </c>
      <c r="E38" s="67">
        <f>'1A_F'!D11</f>
        <v>0</v>
      </c>
      <c r="F38" s="6"/>
      <c r="G38" s="463" t="s">
        <v>49</v>
      </c>
      <c r="H38" s="464"/>
      <c r="I38" s="464"/>
      <c r="J38" s="465"/>
      <c r="K38" s="34"/>
      <c r="L38" s="492"/>
      <c r="M38" s="11" t="s">
        <v>13</v>
      </c>
      <c r="N38" s="24" t="str">
        <f>'1A_F'!M11</f>
        <v/>
      </c>
      <c r="O38" s="61">
        <f>'1A_F'!N11</f>
        <v>0</v>
      </c>
    </row>
    <row r="39" spans="1:15" ht="24.95" customHeight="1" thickBot="1">
      <c r="A39" s="494"/>
      <c r="B39" s="492"/>
      <c r="C39" s="11" t="s">
        <v>18</v>
      </c>
      <c r="D39" s="24" t="str">
        <f>'1A_F'!C12</f>
        <v>2ème  Groupe 2</v>
      </c>
      <c r="E39" s="59">
        <f>'1A_F'!D12</f>
        <v>0</v>
      </c>
      <c r="F39" s="6"/>
      <c r="G39" s="41"/>
      <c r="H39" s="42"/>
      <c r="I39" s="43"/>
      <c r="J39" s="44"/>
      <c r="K39" s="9"/>
      <c r="L39" s="40"/>
      <c r="M39" s="29"/>
      <c r="N39" s="12"/>
      <c r="O39" s="33"/>
    </row>
    <row r="40" spans="1:15" ht="24.95" customHeight="1">
      <c r="A40" s="494"/>
      <c r="B40" s="491">
        <v>4</v>
      </c>
      <c r="C40" s="7" t="s">
        <v>19</v>
      </c>
      <c r="D40" s="19" t="str">
        <f>'1A_F'!C13</f>
        <v xml:space="preserve"> </v>
      </c>
      <c r="E40" s="52">
        <f>'1A_F'!D13</f>
        <v>0</v>
      </c>
      <c r="F40" s="6"/>
      <c r="G40" s="491">
        <v>7</v>
      </c>
      <c r="H40" s="7" t="s">
        <v>19</v>
      </c>
      <c r="I40" s="8" t="str">
        <f>'1A_F'!H13</f>
        <v>AGUILERA Vincent</v>
      </c>
      <c r="J40" s="54">
        <f>'1A_F'!I13</f>
        <v>0</v>
      </c>
      <c r="K40" s="9"/>
      <c r="L40" s="40"/>
      <c r="M40" s="29"/>
      <c r="N40" s="32"/>
      <c r="O40" s="33"/>
    </row>
    <row r="41" spans="1:15" ht="24.95" customHeight="1" thickBot="1">
      <c r="A41" s="498"/>
      <c r="B41" s="492"/>
      <c r="C41" s="11" t="s">
        <v>20</v>
      </c>
      <c r="D41" s="24" t="str">
        <f>'1A_F'!C14</f>
        <v xml:space="preserve"> </v>
      </c>
      <c r="E41" s="59">
        <f>'1A_F'!D14</f>
        <v>0</v>
      </c>
      <c r="F41" s="45"/>
      <c r="G41" s="492"/>
      <c r="H41" s="11" t="s">
        <v>20</v>
      </c>
      <c r="I41" s="24" t="str">
        <f>'1A_F'!H14</f>
        <v>JOUVE GERARD</v>
      </c>
      <c r="J41" s="61">
        <f>'1A_F'!I14</f>
        <v>0</v>
      </c>
      <c r="K41" s="9"/>
      <c r="L41" s="40"/>
      <c r="M41" s="29"/>
      <c r="N41" s="32"/>
      <c r="O41" s="33"/>
    </row>
    <row r="44" spans="1:15" ht="22.15" customHeight="1">
      <c r="D44" s="70" t="str">
        <f>D34</f>
        <v>2ème Groupe 1</v>
      </c>
      <c r="E44" s="70">
        <f>IF((E35=""),"",IF((E34&gt;E35),2,0))</f>
        <v>0</v>
      </c>
      <c r="I44" s="70" t="str">
        <f>I34</f>
        <v>1er Groupe 1</v>
      </c>
      <c r="J44" s="70">
        <f>IF((J35=""),"",IF((J34&gt;J35),4,0))</f>
        <v>0</v>
      </c>
      <c r="N44" s="70" t="str">
        <f>N37</f>
        <v/>
      </c>
      <c r="O44" s="70">
        <f>IF((O38=""),"",IF((O37&gt;O38),4,0))</f>
        <v>0</v>
      </c>
    </row>
    <row r="45" spans="1:15" ht="22.15" customHeight="1">
      <c r="D45" s="70" t="str">
        <f t="shared" ref="D45:D51" si="5">D35</f>
        <v>3ème Groupe 2</v>
      </c>
      <c r="E45" s="70">
        <f>IF((E35=""),"",IF((E35&gt;E34),2,0))</f>
        <v>0</v>
      </c>
      <c r="I45" s="70" t="str">
        <f>I35</f>
        <v>1er Groupe 2</v>
      </c>
      <c r="J45" s="70">
        <f>IF((J35=""),"",IF((J35&gt;J34),4,0))</f>
        <v>0</v>
      </c>
      <c r="N45" s="70" t="str">
        <f>N38</f>
        <v/>
      </c>
      <c r="O45" s="70">
        <f>IF((O38=""),"",IF((O38&gt;O37),4,0))</f>
        <v>0</v>
      </c>
    </row>
    <row r="46" spans="1:15" ht="22.15" customHeight="1">
      <c r="D46" s="70" t="str">
        <f t="shared" si="5"/>
        <v xml:space="preserve"> </v>
      </c>
      <c r="E46" s="70">
        <f>IF((E37=""),"",IF((E36&gt;E37),2,0))</f>
        <v>0</v>
      </c>
      <c r="I46" s="70" t="str">
        <f>I40</f>
        <v>AGUILERA Vincent</v>
      </c>
      <c r="J46" s="70">
        <f>IF((J41=""),"",IF((J40&gt;J41),4,0))</f>
        <v>0</v>
      </c>
    </row>
    <row r="47" spans="1:15" ht="22.15" customHeight="1">
      <c r="D47" s="70" t="str">
        <f t="shared" si="5"/>
        <v xml:space="preserve"> </v>
      </c>
      <c r="E47" s="70">
        <f>IF((E37=""),"",IF((E37&gt;E36),2,0))</f>
        <v>0</v>
      </c>
      <c r="I47" s="70" t="str">
        <f>I41</f>
        <v>JOUVE GERARD</v>
      </c>
      <c r="J47" s="70">
        <f>IF((J41=""),"",IF((J41&gt;J40),4,0))</f>
        <v>0</v>
      </c>
    </row>
    <row r="48" spans="1:15" ht="22.15" customHeight="1">
      <c r="D48" s="70" t="str">
        <f t="shared" si="5"/>
        <v>3ème Groupe 1</v>
      </c>
      <c r="E48" s="70">
        <f>IF((E39=""),"",IF((E38&gt;E39),2,0))</f>
        <v>0</v>
      </c>
    </row>
    <row r="49" spans="4:5" ht="22.15" customHeight="1">
      <c r="D49" s="70" t="str">
        <f t="shared" si="5"/>
        <v>2ème  Groupe 2</v>
      </c>
      <c r="E49" s="70">
        <f>IF((E39=""),"",IF((E39&gt;E38),2,0))</f>
        <v>0</v>
      </c>
    </row>
    <row r="50" spans="4:5" ht="22.15" customHeight="1">
      <c r="D50" s="70" t="str">
        <f t="shared" si="5"/>
        <v xml:space="preserve"> </v>
      </c>
      <c r="E50" s="70">
        <f>IF((E41=""),"",IF((E40&gt;E41),2,0))</f>
        <v>0</v>
      </c>
    </row>
    <row r="51" spans="4:5" ht="22.15" customHeight="1">
      <c r="D51" s="70" t="str">
        <f t="shared" si="5"/>
        <v xml:space="preserve"> </v>
      </c>
      <c r="E51" s="70">
        <f>IF((E41=""),"",IF((E41&gt;E40),2,0))</f>
        <v>0</v>
      </c>
    </row>
  </sheetData>
  <mergeCells count="39">
    <mergeCell ref="A1:A4"/>
    <mergeCell ref="B1:K1"/>
    <mergeCell ref="L1:N1"/>
    <mergeCell ref="B2:K2"/>
    <mergeCell ref="L2:N2"/>
    <mergeCell ref="B4:E4"/>
    <mergeCell ref="G4:J4"/>
    <mergeCell ref="L4:O4"/>
    <mergeCell ref="A7:A10"/>
    <mergeCell ref="B7:B8"/>
    <mergeCell ref="G7:G8"/>
    <mergeCell ref="L7:L8"/>
    <mergeCell ref="B9:B10"/>
    <mergeCell ref="G9:G10"/>
    <mergeCell ref="L9:L10"/>
    <mergeCell ref="A11:A14"/>
    <mergeCell ref="B11:B12"/>
    <mergeCell ref="G11:G12"/>
    <mergeCell ref="L11:L12"/>
    <mergeCell ref="B13:B14"/>
    <mergeCell ref="G13:G14"/>
    <mergeCell ref="L13:L14"/>
    <mergeCell ref="B28:K28"/>
    <mergeCell ref="L28:N28"/>
    <mergeCell ref="B29:K29"/>
    <mergeCell ref="L29:N29"/>
    <mergeCell ref="B31:E31"/>
    <mergeCell ref="G31:J31"/>
    <mergeCell ref="G40:G41"/>
    <mergeCell ref="A34:A37"/>
    <mergeCell ref="B34:B35"/>
    <mergeCell ref="G34:G35"/>
    <mergeCell ref="L34:O34"/>
    <mergeCell ref="B36:B37"/>
    <mergeCell ref="L37:L38"/>
    <mergeCell ref="A38:A41"/>
    <mergeCell ref="B38:B39"/>
    <mergeCell ref="G38:J38"/>
    <mergeCell ref="B40:B41"/>
  </mergeCells>
  <conditionalFormatting sqref="D15">
    <cfRule type="cellIs" dxfId="3" priority="7" stopIfTrue="1" operator="equal">
      <formula>"OFFICE"</formula>
    </cfRule>
  </conditionalFormatting>
  <conditionalFormatting sqref="I9:I10 N9:N10 I13:I15 N13:N15">
    <cfRule type="cellIs" dxfId="2" priority="6" stopIfTrue="1" operator="equal">
      <formula>"OFFICE"</formula>
    </cfRule>
  </conditionalFormatting>
  <conditionalFormatting sqref="I36:I37">
    <cfRule type="cellIs" dxfId="1" priority="2" stopIfTrue="1" operator="equal">
      <formula>"OFFICE"</formula>
    </cfRule>
  </conditionalFormatting>
  <conditionalFormatting sqref="N40:N41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1ère J Alissas 14 09 2024 M3</vt:lpstr>
      <vt:lpstr>Déroulé</vt:lpstr>
      <vt:lpstr>Liste Equipes_Tirage</vt:lpstr>
      <vt:lpstr>1A_G</vt:lpstr>
      <vt:lpstr>1A_F</vt:lpstr>
      <vt:lpstr>1A_Cl</vt:lpstr>
      <vt:lpstr>1A_C.</vt:lpstr>
      <vt:lpstr>'1A_C.'!Zone_d_impression</vt:lpstr>
      <vt:lpstr>'1A_Cl'!Zone_d_impression</vt:lpstr>
      <vt:lpstr>'1A_F'!Zone_d_impression</vt:lpstr>
      <vt:lpstr>'1A_G'!Zone_d_impression</vt:lpstr>
      <vt:lpstr>'1ère J Alissas 14 09 2024 M3'!Zone_d_impression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Gabriel HILAIRE</cp:lastModifiedBy>
  <cp:lastPrinted>2024-08-31T17:28:24Z</cp:lastPrinted>
  <dcterms:created xsi:type="dcterms:W3CDTF">2022-01-17T14:27:06Z</dcterms:created>
  <dcterms:modified xsi:type="dcterms:W3CDTF">2024-09-04T13:59:34Z</dcterms:modified>
</cp:coreProperties>
</file>