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 tabRatio="806" activeTab="2"/>
  </bookViews>
  <sheets>
    <sheet name="1ère J St Victor 14 09 2024 M3" sheetId="16" r:id="rId1"/>
    <sheet name="Déroulé" sheetId="15" r:id="rId2"/>
    <sheet name="Parties groupes_V" sheetId="11" r:id="rId3"/>
    <sheet name="Phases Finales" sheetId="12" r:id="rId4"/>
    <sheet name="Classement" sheetId="13" r:id="rId5"/>
    <sheet name="Epreuve  d'appui" sheetId="17" r:id="rId6"/>
    <sheet name="Points Catégorie" sheetId="14" r:id="rId7"/>
  </sheets>
  <externalReferences>
    <externalReference r:id="rId8"/>
    <externalReference r:id="rId9"/>
    <externalReference r:id="rId10"/>
  </externalReferences>
  <definedNames>
    <definedName name="_GoBack" localSheetId="5">'Epreuve  d''appui'!$A$2</definedName>
    <definedName name="GUICHON_André">#REF!</definedName>
    <definedName name="v2T2RANS">'Parties groupes_V'!$I$6</definedName>
    <definedName name="_xlnm.Print_Area" localSheetId="2">'Parties groupes_V'!$A$1:$BG$32</definedName>
  </definedNames>
  <calcPr calcId="145621"/>
</workbook>
</file>

<file path=xl/calcChain.xml><?xml version="1.0" encoding="utf-8"?>
<calcChain xmlns="http://schemas.openxmlformats.org/spreadsheetml/2006/main">
  <c r="B2" i="14" l="1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AN23" i="11"/>
  <c r="AN17" i="11"/>
  <c r="AN11" i="11"/>
  <c r="AN6" i="11"/>
  <c r="AN12" i="11"/>
  <c r="AN13" i="11"/>
  <c r="AN14" i="11"/>
  <c r="AN15" i="11"/>
  <c r="AN16" i="11"/>
  <c r="AN18" i="11"/>
  <c r="AN19" i="11"/>
  <c r="AN20" i="11"/>
  <c r="AN21" i="11"/>
  <c r="AN22" i="11"/>
  <c r="AN24" i="11"/>
  <c r="AN25" i="11"/>
  <c r="AN26" i="11"/>
  <c r="AN27" i="11"/>
  <c r="AN28" i="11"/>
  <c r="AN7" i="11"/>
  <c r="AN8" i="11"/>
  <c r="AN9" i="11"/>
  <c r="AN10" i="11"/>
  <c r="AI29" i="11"/>
  <c r="AI23" i="11"/>
  <c r="AI17" i="11"/>
  <c r="AI11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V7" i="11"/>
  <c r="V6" i="11"/>
  <c r="AE7" i="11"/>
  <c r="AE6" i="11"/>
  <c r="K2" i="13"/>
  <c r="K1" i="13"/>
  <c r="A2" i="13"/>
  <c r="A1" i="13"/>
  <c r="K2" i="12"/>
  <c r="K1" i="12"/>
  <c r="A1" i="12"/>
  <c r="A2" i="12"/>
  <c r="M30" i="11" l="1"/>
  <c r="AE30" i="11"/>
  <c r="V30" i="11"/>
  <c r="AF29" i="1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C28" i="11"/>
  <c r="AC27" i="11"/>
  <c r="AG27" i="11" s="1"/>
  <c r="AC26" i="11"/>
  <c r="AG26" i="11" s="1"/>
  <c r="AC25" i="11"/>
  <c r="AG25" i="11" s="1"/>
  <c r="AC24" i="11"/>
  <c r="AG24" i="11" s="1"/>
  <c r="AC22" i="11"/>
  <c r="AC21" i="11"/>
  <c r="AG21" i="11" s="1"/>
  <c r="AC20" i="11"/>
  <c r="AG20" i="11" s="1"/>
  <c r="AC19" i="11"/>
  <c r="AG19" i="11" s="1"/>
  <c r="AC18" i="11"/>
  <c r="AG18" i="11" s="1"/>
  <c r="AC16" i="11"/>
  <c r="AC15" i="11"/>
  <c r="AG15" i="11" s="1"/>
  <c r="AC14" i="11"/>
  <c r="AG14" i="11" s="1"/>
  <c r="AC13" i="11"/>
  <c r="AG13" i="11" s="1"/>
  <c r="AC12" i="11"/>
  <c r="AG12" i="11" s="1"/>
  <c r="AC10" i="11"/>
  <c r="AC9" i="11"/>
  <c r="AG9" i="11" s="1"/>
  <c r="AC8" i="11"/>
  <c r="AG8" i="11" s="1"/>
  <c r="AC7" i="11"/>
  <c r="AG7" i="11" s="1"/>
  <c r="AC6" i="11"/>
  <c r="AG6" i="11" s="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T28" i="11"/>
  <c r="T27" i="11"/>
  <c r="X27" i="11" s="1"/>
  <c r="T26" i="11"/>
  <c r="X26" i="11" s="1"/>
  <c r="T25" i="11"/>
  <c r="X25" i="11" s="1"/>
  <c r="T24" i="11"/>
  <c r="X24" i="11" s="1"/>
  <c r="T22" i="11"/>
  <c r="T21" i="11"/>
  <c r="X21" i="11" s="1"/>
  <c r="T20" i="11"/>
  <c r="X20" i="11" s="1"/>
  <c r="T19" i="11"/>
  <c r="X19" i="11" s="1"/>
  <c r="T18" i="11"/>
  <c r="X18" i="11" s="1"/>
  <c r="T16" i="11"/>
  <c r="T15" i="11"/>
  <c r="X15" i="11" s="1"/>
  <c r="T14" i="11"/>
  <c r="X14" i="11" s="1"/>
  <c r="T13" i="11"/>
  <c r="X13" i="11" s="1"/>
  <c r="T12" i="11"/>
  <c r="X12" i="11" s="1"/>
  <c r="T10" i="11"/>
  <c r="T9" i="11"/>
  <c r="X9" i="11" s="1"/>
  <c r="T8" i="11"/>
  <c r="X8" i="11" s="1"/>
  <c r="T7" i="11"/>
  <c r="X7" i="11" s="1"/>
  <c r="T6" i="11"/>
  <c r="X6" i="11" s="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K29" i="11"/>
  <c r="K28" i="11"/>
  <c r="K27" i="11"/>
  <c r="O27" i="11" s="1"/>
  <c r="K26" i="11"/>
  <c r="O26" i="11" s="1"/>
  <c r="K25" i="11"/>
  <c r="O25" i="11" s="1"/>
  <c r="K24" i="11"/>
  <c r="O24" i="11" s="1"/>
  <c r="K23" i="11"/>
  <c r="K22" i="11"/>
  <c r="K21" i="11"/>
  <c r="O21" i="11" s="1"/>
  <c r="K20" i="11"/>
  <c r="O20" i="11" s="1"/>
  <c r="K19" i="11"/>
  <c r="O19" i="11" s="1"/>
  <c r="K18" i="11"/>
  <c r="O18" i="11" s="1"/>
  <c r="K17" i="11"/>
  <c r="K16" i="11"/>
  <c r="K15" i="11"/>
  <c r="O15" i="11" s="1"/>
  <c r="K14" i="11"/>
  <c r="O14" i="11" s="1"/>
  <c r="K13" i="11"/>
  <c r="O13" i="11" s="1"/>
  <c r="K12" i="11"/>
  <c r="O12" i="11" s="1"/>
  <c r="K11" i="11"/>
  <c r="K10" i="11"/>
  <c r="K9" i="11"/>
  <c r="O9" i="11" s="1"/>
  <c r="K8" i="11"/>
  <c r="O8" i="11" s="1"/>
  <c r="K7" i="11"/>
  <c r="O7" i="11" s="1"/>
  <c r="K6" i="11"/>
  <c r="O6" i="11" s="1"/>
  <c r="L30" i="11" l="1"/>
  <c r="U30" i="11"/>
  <c r="AD30" i="11"/>
  <c r="I18" i="11"/>
  <c r="I6" i="11"/>
  <c r="AI6" i="11" l="1"/>
  <c r="AI18" i="11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" i="14"/>
  <c r="I28" i="11" l="1"/>
  <c r="I27" i="11"/>
  <c r="AI27" i="11" s="1"/>
  <c r="I26" i="11"/>
  <c r="I25" i="11"/>
  <c r="AI25" i="11" s="1"/>
  <c r="I24" i="11"/>
  <c r="I22" i="11"/>
  <c r="I21" i="11"/>
  <c r="AI21" i="11" s="1"/>
  <c r="I20" i="11"/>
  <c r="I19" i="11"/>
  <c r="I16" i="11"/>
  <c r="I15" i="11"/>
  <c r="AI15" i="11" s="1"/>
  <c r="I14" i="11"/>
  <c r="I13" i="11"/>
  <c r="AI13" i="11" s="1"/>
  <c r="I12" i="11"/>
  <c r="I10" i="11"/>
  <c r="I9" i="11"/>
  <c r="AI9" i="11" s="1"/>
  <c r="I8" i="11"/>
  <c r="I7" i="11"/>
  <c r="BD20" i="11" l="1" a="1"/>
  <c r="BD20" i="11" s="1"/>
  <c r="AI20" i="11"/>
  <c r="BD21" i="11" a="1"/>
  <c r="BD21" i="11" s="1"/>
  <c r="AI7" i="11"/>
  <c r="BD7" i="11" a="1"/>
  <c r="BD7" i="11" s="1"/>
  <c r="BD6" i="11" a="1"/>
  <c r="BD6" i="11" s="1"/>
  <c r="BD10" i="11" a="1"/>
  <c r="BD10" i="11" s="1"/>
  <c r="AI10" i="11"/>
  <c r="AI12" i="11"/>
  <c r="BD12" i="11" a="1"/>
  <c r="BD12" i="11" s="1"/>
  <c r="BD13" i="11" a="1"/>
  <c r="BD13" i="11" s="1"/>
  <c r="AI22" i="11"/>
  <c r="BD22" i="11" a="1"/>
  <c r="BD22" i="11" s="1"/>
  <c r="AI24" i="11"/>
  <c r="BD25" i="11" a="1"/>
  <c r="BD25" i="11" s="1"/>
  <c r="BD24" i="11" a="1"/>
  <c r="BD24" i="11" s="1"/>
  <c r="AI14" i="11"/>
  <c r="BD14" i="11" a="1"/>
  <c r="BD14" i="11" s="1"/>
  <c r="BD15" i="11" a="1"/>
  <c r="BD15" i="11" s="1"/>
  <c r="BD27" i="11" a="1"/>
  <c r="BD27" i="11" s="1"/>
  <c r="AI26" i="11"/>
  <c r="BD26" i="11" a="1"/>
  <c r="BD26" i="11" s="1"/>
  <c r="AI16" i="11"/>
  <c r="BD16" i="11" a="1"/>
  <c r="BD16" i="11" s="1"/>
  <c r="BD8" i="11" a="1"/>
  <c r="BD8" i="11" s="1"/>
  <c r="AI8" i="11"/>
  <c r="BD9" i="11" a="1"/>
  <c r="BD9" i="11" s="1"/>
  <c r="AI19" i="11"/>
  <c r="BD18" i="11" a="1"/>
  <c r="BD18" i="11" s="1"/>
  <c r="BD19" i="11" a="1"/>
  <c r="BD19" i="11" s="1"/>
  <c r="AI28" i="11"/>
  <c r="BD28" i="11" a="1"/>
  <c r="BD28" i="11" s="1"/>
  <c r="BD29" i="11" l="1"/>
  <c r="BD11" i="11"/>
  <c r="BD23" i="11"/>
  <c r="BD17" i="11"/>
  <c r="R24" i="11"/>
  <c r="R27" i="11"/>
  <c r="AA27" i="11" s="1"/>
  <c r="R28" i="11"/>
  <c r="BE26" i="11" s="1" a="1"/>
  <c r="BE26" i="11" s="1"/>
  <c r="R25" i="11"/>
  <c r="AA26" i="11" s="1"/>
  <c r="R21" i="11"/>
  <c r="R19" i="11"/>
  <c r="AA20" i="11" s="1"/>
  <c r="B11" i="13"/>
  <c r="B9" i="13"/>
  <c r="R7" i="11"/>
  <c r="BD31" i="11" l="1"/>
  <c r="J11" i="13"/>
  <c r="J9" i="13"/>
  <c r="BF27" i="11" a="1"/>
  <c r="BF27" i="11" s="1"/>
  <c r="BF25" i="11" a="1"/>
  <c r="BF25" i="11" s="1"/>
  <c r="BE25" i="11" a="1"/>
  <c r="BE25" i="11" s="1"/>
  <c r="BC25" i="11" s="1" a="1"/>
  <c r="BE28" i="11" a="1"/>
  <c r="BE28" i="11" s="1"/>
  <c r="R13" i="11"/>
  <c r="AA14" i="11" s="1"/>
  <c r="R15" i="11"/>
  <c r="AA15" i="11" s="1"/>
  <c r="B10" i="13"/>
  <c r="R9" i="11"/>
  <c r="R14" i="11"/>
  <c r="AA16" i="11" s="1"/>
  <c r="B7" i="13"/>
  <c r="C7" i="13" s="1"/>
  <c r="AA24" i="11"/>
  <c r="AA25" i="11"/>
  <c r="BB7" i="11"/>
  <c r="B8" i="13"/>
  <c r="B13" i="13"/>
  <c r="BB12" i="11"/>
  <c r="R16" i="11"/>
  <c r="BE14" i="11" s="1" a="1"/>
  <c r="BE14" i="11" s="1"/>
  <c r="B15" i="13"/>
  <c r="BB14" i="11"/>
  <c r="R12" i="11"/>
  <c r="BB16" i="11"/>
  <c r="B17" i="13"/>
  <c r="AA21" i="11"/>
  <c r="BF21" i="11" s="1" a="1"/>
  <c r="BF21" i="11" s="1"/>
  <c r="B20" i="13"/>
  <c r="BB19" i="11"/>
  <c r="B22" i="13"/>
  <c r="BB21" i="11"/>
  <c r="BB24" i="11"/>
  <c r="B25" i="13"/>
  <c r="B27" i="13"/>
  <c r="BB26" i="11"/>
  <c r="BB28" i="11"/>
  <c r="B29" i="13"/>
  <c r="BB6" i="11"/>
  <c r="B14" i="13"/>
  <c r="BB13" i="11"/>
  <c r="B16" i="13"/>
  <c r="BB15" i="11"/>
  <c r="B19" i="13"/>
  <c r="BB18" i="11"/>
  <c r="R22" i="11"/>
  <c r="BE20" i="11" s="1" a="1"/>
  <c r="BE20" i="11" s="1"/>
  <c r="B21" i="13"/>
  <c r="BB20" i="11"/>
  <c r="R18" i="11"/>
  <c r="B23" i="13"/>
  <c r="BB22" i="11"/>
  <c r="B26" i="13"/>
  <c r="BB25" i="11"/>
  <c r="B28" i="13"/>
  <c r="BB27" i="11"/>
  <c r="BB9" i="11"/>
  <c r="R8" i="11"/>
  <c r="BB8" i="11"/>
  <c r="BB10" i="11"/>
  <c r="R20" i="11"/>
  <c r="R26" i="11"/>
  <c r="BC25" i="11" l="1"/>
  <c r="J29" i="13"/>
  <c r="BE15" i="11" a="1"/>
  <c r="BE15" i="11" s="1"/>
  <c r="BE12" i="11" a="1"/>
  <c r="BE12" i="11" s="1"/>
  <c r="J20" i="13"/>
  <c r="J28" i="13"/>
  <c r="BE18" i="11" a="1"/>
  <c r="BE18" i="11" s="1"/>
  <c r="BE21" i="11" a="1"/>
  <c r="BE21" i="11" s="1"/>
  <c r="BC21" i="11" s="1" a="1"/>
  <c r="BC21" i="11" s="1"/>
  <c r="J19" i="13"/>
  <c r="J13" i="13"/>
  <c r="J10" i="13"/>
  <c r="E27" i="13"/>
  <c r="J27" i="13"/>
  <c r="J17" i="13"/>
  <c r="J8" i="13"/>
  <c r="BF19" i="11" a="1"/>
  <c r="BF19" i="11" s="1"/>
  <c r="BE27" i="11" a="1"/>
  <c r="BE27" i="11" s="1"/>
  <c r="BC27" i="11" s="1" a="1"/>
  <c r="BC27" i="11" s="1"/>
  <c r="BE24" i="11" a="1"/>
  <c r="BE24" i="11" s="1"/>
  <c r="J26" i="13"/>
  <c r="J23" i="13"/>
  <c r="J16" i="13"/>
  <c r="J25" i="13"/>
  <c r="BF15" i="11" a="1"/>
  <c r="BF15" i="11" s="1"/>
  <c r="BF13" i="11" a="1"/>
  <c r="BF13" i="11" s="1"/>
  <c r="BE22" i="11" a="1"/>
  <c r="BE22" i="11" s="1"/>
  <c r="BE19" i="11" a="1"/>
  <c r="BE19" i="11" s="1"/>
  <c r="BE9" i="11" a="1"/>
  <c r="BE9" i="11" s="1"/>
  <c r="BE6" i="11" a="1"/>
  <c r="BE6" i="11" s="1"/>
  <c r="BE16" i="11" a="1"/>
  <c r="BE16" i="11" s="1"/>
  <c r="BE13" i="11" a="1"/>
  <c r="BE13" i="11" s="1"/>
  <c r="J14" i="13"/>
  <c r="BF26" i="11" a="1"/>
  <c r="BF26" i="11" s="1"/>
  <c r="BC26" i="11" s="1" a="1"/>
  <c r="BC26" i="11" s="1"/>
  <c r="BF28" i="11" a="1"/>
  <c r="BF28" i="11" s="1"/>
  <c r="BC28" i="11" s="1" a="1"/>
  <c r="BC28" i="11" s="1"/>
  <c r="J21" i="13"/>
  <c r="J22" i="13"/>
  <c r="J15" i="13"/>
  <c r="J7" i="13"/>
  <c r="D28" i="13"/>
  <c r="C28" i="13"/>
  <c r="E28" i="13"/>
  <c r="D26" i="13"/>
  <c r="C26" i="13"/>
  <c r="E26" i="13"/>
  <c r="C19" i="13"/>
  <c r="D19" i="13"/>
  <c r="C29" i="13"/>
  <c r="E29" i="13"/>
  <c r="D29" i="13"/>
  <c r="C22" i="13"/>
  <c r="D22" i="13"/>
  <c r="C17" i="13"/>
  <c r="D17" i="13"/>
  <c r="C15" i="13"/>
  <c r="D15" i="13"/>
  <c r="D13" i="13"/>
  <c r="C13" i="13"/>
  <c r="D23" i="13"/>
  <c r="C23" i="13"/>
  <c r="D21" i="13"/>
  <c r="C21" i="13"/>
  <c r="D16" i="13"/>
  <c r="C16" i="13"/>
  <c r="D14" i="13"/>
  <c r="C14" i="13"/>
  <c r="C27" i="13"/>
  <c r="D27" i="13"/>
  <c r="D25" i="13"/>
  <c r="C25" i="13"/>
  <c r="C20" i="13"/>
  <c r="D20" i="13"/>
  <c r="BF12" i="11" a="1"/>
  <c r="BF12" i="11" s="1"/>
  <c r="AA22" i="11"/>
  <c r="BF18" i="11" s="1" a="1"/>
  <c r="BF18" i="11" s="1"/>
  <c r="AA18" i="11"/>
  <c r="AA19" i="11"/>
  <c r="AA12" i="11"/>
  <c r="AA13" i="11"/>
  <c r="AA28" i="11"/>
  <c r="AM24" i="11" s="1"/>
  <c r="AM26" i="11" l="1"/>
  <c r="AM28" i="11"/>
  <c r="AM27" i="11"/>
  <c r="AM15" i="11"/>
  <c r="AM21" i="11"/>
  <c r="AM25" i="11"/>
  <c r="H26" i="13" s="1"/>
  <c r="AL29" i="11"/>
  <c r="AK29" i="11"/>
  <c r="AK17" i="11"/>
  <c r="AJ17" i="11"/>
  <c r="AM23" i="11"/>
  <c r="AK23" i="11"/>
  <c r="AM29" i="11"/>
  <c r="AJ29" i="11"/>
  <c r="AM17" i="11"/>
  <c r="AL17" i="11"/>
  <c r="AJ23" i="11"/>
  <c r="AL23" i="11"/>
  <c r="AM16" i="11"/>
  <c r="H13" i="13" s="1"/>
  <c r="AM13" i="11"/>
  <c r="AM20" i="11"/>
  <c r="AM22" i="11"/>
  <c r="H23" i="13" s="1"/>
  <c r="AM18" i="11"/>
  <c r="AM14" i="11"/>
  <c r="AM12" i="11"/>
  <c r="AM19" i="11"/>
  <c r="BC19" i="11" a="1"/>
  <c r="BC19" i="11" s="1"/>
  <c r="BF14" i="11" a="1"/>
  <c r="BF14" i="11" s="1"/>
  <c r="BC14" i="11" s="1" a="1"/>
  <c r="BC14" i="11" s="1"/>
  <c r="BF16" i="11" a="1"/>
  <c r="BF16" i="11" s="1"/>
  <c r="BC16" i="11" s="1" a="1"/>
  <c r="BF22" i="11" a="1"/>
  <c r="BF22" i="11" s="1"/>
  <c r="BC22" i="11" s="1" a="1"/>
  <c r="BF20" i="11" a="1"/>
  <c r="BF20" i="11" s="1"/>
  <c r="BC20" i="11" s="1" a="1"/>
  <c r="BC20" i="11" s="1"/>
  <c r="BC13" i="11" a="1"/>
  <c r="BC13" i="11" s="1"/>
  <c r="BE17" i="11"/>
  <c r="BC12" i="11" a="1"/>
  <c r="BC12" i="11" s="1"/>
  <c r="BE29" i="11"/>
  <c r="BC15" i="11" a="1"/>
  <c r="BC15" i="11" s="1"/>
  <c r="BE23" i="11"/>
  <c r="BC18" i="11" a="1"/>
  <c r="BC18" i="11" s="1"/>
  <c r="AJ25" i="11"/>
  <c r="BF24" i="11" a="1"/>
  <c r="BF24" i="11" s="1"/>
  <c r="BF29" i="11" s="1"/>
  <c r="AK16" i="11"/>
  <c r="AK14" i="11"/>
  <c r="AJ21" i="11"/>
  <c r="AK13" i="11"/>
  <c r="AJ12" i="11"/>
  <c r="AK26" i="11"/>
  <c r="AK25" i="11"/>
  <c r="AK20" i="11"/>
  <c r="AK19" i="11"/>
  <c r="AK12" i="11"/>
  <c r="AJ13" i="11"/>
  <c r="AJ24" i="11"/>
  <c r="AJ28" i="11"/>
  <c r="AJ18" i="11"/>
  <c r="AJ22" i="11"/>
  <c r="AJ27" i="11"/>
  <c r="AJ19" i="11"/>
  <c r="AJ16" i="11"/>
  <c r="AK15" i="11"/>
  <c r="AJ26" i="11"/>
  <c r="AK24" i="11"/>
  <c r="AJ20" i="11"/>
  <c r="AK18" i="11"/>
  <c r="AJ15" i="11"/>
  <c r="AJ14" i="11"/>
  <c r="AK28" i="11"/>
  <c r="AK27" i="11"/>
  <c r="AK22" i="11"/>
  <c r="AK21" i="11"/>
  <c r="H27" i="13"/>
  <c r="AL26" i="11"/>
  <c r="AL25" i="11"/>
  <c r="AL27" i="11"/>
  <c r="AL28" i="11"/>
  <c r="AL19" i="11"/>
  <c r="F28" i="13"/>
  <c r="E20" i="13"/>
  <c r="F20" i="13" s="1"/>
  <c r="E14" i="13"/>
  <c r="F14" i="13" s="1"/>
  <c r="E21" i="13"/>
  <c r="E15" i="13"/>
  <c r="E22" i="13"/>
  <c r="F22" i="13" s="1"/>
  <c r="E25" i="13"/>
  <c r="E16" i="13"/>
  <c r="F16" i="13" s="1"/>
  <c r="E23" i="13"/>
  <c r="E13" i="13"/>
  <c r="E17" i="13"/>
  <c r="E19" i="13"/>
  <c r="F19" i="13" s="1"/>
  <c r="AL13" i="11"/>
  <c r="AL12" i="11"/>
  <c r="F27" i="13"/>
  <c r="AL18" i="11"/>
  <c r="F29" i="13"/>
  <c r="AL20" i="11"/>
  <c r="AL14" i="11"/>
  <c r="F26" i="13"/>
  <c r="AL16" i="11"/>
  <c r="AL15" i="11"/>
  <c r="AL24" i="11"/>
  <c r="AL22" i="11"/>
  <c r="AL21" i="11"/>
  <c r="H16" i="13" l="1"/>
  <c r="H20" i="13"/>
  <c r="G22" i="13"/>
  <c r="G19" i="13"/>
  <c r="H21" i="13"/>
  <c r="H19" i="13"/>
  <c r="H15" i="13"/>
  <c r="G13" i="13"/>
  <c r="H14" i="13"/>
  <c r="G23" i="13"/>
  <c r="H22" i="13"/>
  <c r="H17" i="13"/>
  <c r="G15" i="13"/>
  <c r="G21" i="13"/>
  <c r="G20" i="13"/>
  <c r="I20" i="13" s="1"/>
  <c r="AQ18" i="11"/>
  <c r="AQ21" i="11"/>
  <c r="AQ27" i="11"/>
  <c r="AQ24" i="11"/>
  <c r="AQ15" i="11"/>
  <c r="AQ19" i="11"/>
  <c r="AQ25" i="11"/>
  <c r="AQ16" i="11"/>
  <c r="AQ22" i="11"/>
  <c r="AQ28" i="11"/>
  <c r="AQ12" i="11"/>
  <c r="AQ20" i="11"/>
  <c r="AQ26" i="11"/>
  <c r="AQ13" i="11"/>
  <c r="AQ14" i="11"/>
  <c r="G27" i="13"/>
  <c r="I27" i="13" s="1"/>
  <c r="G14" i="13"/>
  <c r="H28" i="13"/>
  <c r="G16" i="13"/>
  <c r="I16" i="13" s="1"/>
  <c r="G29" i="13"/>
  <c r="G17" i="13"/>
  <c r="H29" i="13"/>
  <c r="G28" i="13"/>
  <c r="G26" i="13"/>
  <c r="I26" i="13" s="1"/>
  <c r="G25" i="13"/>
  <c r="H25" i="13"/>
  <c r="BC22" i="11"/>
  <c r="BC23" i="11" s="1"/>
  <c r="BF17" i="11"/>
  <c r="BF23" i="11"/>
  <c r="BC16" i="11"/>
  <c r="BC17" i="11" s="1"/>
  <c r="BC24" i="11" a="1"/>
  <c r="BC24" i="11" s="1"/>
  <c r="BC29" i="11" s="1"/>
  <c r="F25" i="13"/>
  <c r="F21" i="13"/>
  <c r="F17" i="13"/>
  <c r="F13" i="13"/>
  <c r="F23" i="13"/>
  <c r="F15" i="13"/>
  <c r="R6" i="11"/>
  <c r="AA6" i="11" s="1"/>
  <c r="AA8" i="11"/>
  <c r="I19" i="13" l="1"/>
  <c r="I22" i="13"/>
  <c r="I13" i="13"/>
  <c r="I28" i="13"/>
  <c r="I14" i="13"/>
  <c r="I29" i="13"/>
  <c r="I21" i="13"/>
  <c r="I15" i="13"/>
  <c r="I25" i="13"/>
  <c r="I23" i="13"/>
  <c r="I17" i="13"/>
  <c r="AQ23" i="11"/>
  <c r="AQ17" i="11"/>
  <c r="BE7" i="11" a="1"/>
  <c r="BE7" i="11" s="1"/>
  <c r="BE10" i="11" a="1"/>
  <c r="BE10" i="11" s="1"/>
  <c r="W30" i="11"/>
  <c r="N30" i="11"/>
  <c r="C11" i="13"/>
  <c r="C10" i="13"/>
  <c r="C8" i="13"/>
  <c r="C9" i="13"/>
  <c r="D10" i="13"/>
  <c r="D11" i="13"/>
  <c r="D8" i="13"/>
  <c r="D7" i="13"/>
  <c r="AA9" i="11"/>
  <c r="BF9" i="11" s="1" a="1"/>
  <c r="BF9" i="11" s="1"/>
  <c r="BC9" i="11" s="1" a="1"/>
  <c r="BC9" i="11" s="1"/>
  <c r="AA10" i="11"/>
  <c r="BF6" i="11" s="1" a="1"/>
  <c r="BF6" i="11" s="1"/>
  <c r="R10" i="11"/>
  <c r="D9" i="13" l="1"/>
  <c r="D31" i="13" s="1"/>
  <c r="BE8" i="11" a="1"/>
  <c r="BE8" i="11" s="1"/>
  <c r="BE11" i="11" s="1"/>
  <c r="BE31" i="11" s="1"/>
  <c r="BF7" i="11" a="1"/>
  <c r="BF7" i="11" s="1"/>
  <c r="BC7" i="11" s="1" a="1"/>
  <c r="BC6" i="11" a="1"/>
  <c r="BC6" i="11" s="1"/>
  <c r="E11" i="13"/>
  <c r="C31" i="13"/>
  <c r="AA7" i="11"/>
  <c r="E9" i="13" s="1"/>
  <c r="AM10" i="11" l="1"/>
  <c r="H7" i="13" s="1"/>
  <c r="AM11" i="11"/>
  <c r="AJ11" i="11"/>
  <c r="AK11" i="11"/>
  <c r="AL11" i="11"/>
  <c r="AM9" i="11"/>
  <c r="AK6" i="11"/>
  <c r="AM6" i="11"/>
  <c r="AM7" i="11"/>
  <c r="AM8" i="11"/>
  <c r="BC7" i="11"/>
  <c r="BF8" i="11" a="1"/>
  <c r="BF8" i="11" s="1"/>
  <c r="BC8" i="11" s="1" a="1"/>
  <c r="BF10" i="11" a="1"/>
  <c r="BF10" i="11" s="1"/>
  <c r="BC10" i="11" s="1" a="1"/>
  <c r="BC10" i="11" s="1"/>
  <c r="AL6" i="11"/>
  <c r="AL8" i="11"/>
  <c r="AL10" i="11"/>
  <c r="AJ10" i="11"/>
  <c r="AK9" i="11"/>
  <c r="AK8" i="11"/>
  <c r="AK7" i="11"/>
  <c r="AK10" i="11"/>
  <c r="AJ8" i="11"/>
  <c r="AJ7" i="11"/>
  <c r="AJ9" i="11"/>
  <c r="AJ6" i="11"/>
  <c r="AL7" i="11"/>
  <c r="AL9" i="11"/>
  <c r="F11" i="13"/>
  <c r="F6" i="14"/>
  <c r="F9" i="14"/>
  <c r="F17" i="14"/>
  <c r="F10" i="14"/>
  <c r="F18" i="14"/>
  <c r="E10" i="13"/>
  <c r="F10" i="13" s="1"/>
  <c r="F11" i="14"/>
  <c r="F19" i="14"/>
  <c r="F12" i="14"/>
  <c r="F20" i="14"/>
  <c r="F4" i="14"/>
  <c r="F3" i="14"/>
  <c r="F5" i="14"/>
  <c r="F13" i="14"/>
  <c r="F21" i="14"/>
  <c r="F14" i="14"/>
  <c r="F2" i="14"/>
  <c r="F7" i="14"/>
  <c r="F15" i="14"/>
  <c r="F8" i="14"/>
  <c r="F16" i="14"/>
  <c r="E7" i="13"/>
  <c r="E8" i="13"/>
  <c r="F8" i="13" s="1"/>
  <c r="AQ6" i="11" l="1"/>
  <c r="AQ9" i="11"/>
  <c r="AQ8" i="11"/>
  <c r="AQ7" i="11"/>
  <c r="AQ10" i="11"/>
  <c r="G8" i="13"/>
  <c r="I8" i="13" s="1"/>
  <c r="G11" i="13"/>
  <c r="G10" i="13"/>
  <c r="G9" i="13"/>
  <c r="AL30" i="11"/>
  <c r="AM30" i="11"/>
  <c r="AK30" i="11"/>
  <c r="G7" i="13"/>
  <c r="H10" i="13"/>
  <c r="H9" i="13"/>
  <c r="H8" i="13"/>
  <c r="H11" i="13"/>
  <c r="BC8" i="11"/>
  <c r="BC11" i="11" s="1"/>
  <c r="BF11" i="11"/>
  <c r="F22" i="14"/>
  <c r="F7" i="13"/>
  <c r="I7" i="13" s="1"/>
  <c r="E31" i="13"/>
  <c r="F9" i="13"/>
  <c r="AR26" i="11"/>
  <c r="AX26" i="11" s="1"/>
  <c r="AR27" i="11"/>
  <c r="AY27" i="11" s="1"/>
  <c r="AR28" i="11"/>
  <c r="AX28" i="11" s="1"/>
  <c r="AR24" i="11"/>
  <c r="AR25" i="11"/>
  <c r="AV25" i="11" s="1"/>
  <c r="AR16" i="11"/>
  <c r="AY16" i="11" s="1"/>
  <c r="AR12" i="11"/>
  <c r="AY12" i="11" s="1"/>
  <c r="AR13" i="11"/>
  <c r="AR14" i="11"/>
  <c r="AR15" i="11"/>
  <c r="AR19" i="11"/>
  <c r="AW19" i="11" s="1"/>
  <c r="AR20" i="11"/>
  <c r="AR21" i="11"/>
  <c r="AR22" i="11"/>
  <c r="AR18" i="11"/>
  <c r="AX18" i="11" s="1"/>
  <c r="I10" i="13" l="1"/>
  <c r="I9" i="13"/>
  <c r="I11" i="13"/>
  <c r="G31" i="13"/>
  <c r="AR10" i="11"/>
  <c r="AR8" i="11"/>
  <c r="AR7" i="11"/>
  <c r="AR9" i="11"/>
  <c r="AU9" i="11" s="1"/>
  <c r="AX24" i="11"/>
  <c r="AZ24" i="11"/>
  <c r="H31" i="13"/>
  <c r="AR6" i="11"/>
  <c r="AU21" i="11"/>
  <c r="Q9" i="12" s="1"/>
  <c r="R9" i="12" s="1"/>
  <c r="AZ21" i="11"/>
  <c r="AX22" i="11"/>
  <c r="AZ22" i="11"/>
  <c r="AU20" i="11"/>
  <c r="C13" i="12" s="1"/>
  <c r="T13" i="12" s="1"/>
  <c r="AZ20" i="11"/>
  <c r="AY19" i="11"/>
  <c r="AZ19" i="11"/>
  <c r="AX15" i="11"/>
  <c r="AZ15" i="11"/>
  <c r="AU14" i="11"/>
  <c r="C8" i="12" s="1"/>
  <c r="T8" i="12" s="1"/>
  <c r="AZ14" i="11"/>
  <c r="AX13" i="11"/>
  <c r="AZ13" i="11"/>
  <c r="AX27" i="11"/>
  <c r="AV19" i="11"/>
  <c r="AV24" i="11"/>
  <c r="AU26" i="11"/>
  <c r="C10" i="12" s="1"/>
  <c r="T10" i="12" s="1"/>
  <c r="AY26" i="11"/>
  <c r="AU22" i="11"/>
  <c r="Q18" i="12" s="1"/>
  <c r="R18" i="12" s="1"/>
  <c r="AT12" i="11"/>
  <c r="AV12" i="11"/>
  <c r="AX16" i="11"/>
  <c r="AU28" i="11"/>
  <c r="Q19" i="12" s="1"/>
  <c r="R19" i="12" s="1"/>
  <c r="AU25" i="11"/>
  <c r="C14" i="12" s="1"/>
  <c r="AV21" i="11"/>
  <c r="AV14" i="11"/>
  <c r="AY28" i="11"/>
  <c r="AX14" i="11"/>
  <c r="AT24" i="11"/>
  <c r="AV27" i="11"/>
  <c r="AY24" i="11"/>
  <c r="AU18" i="11"/>
  <c r="H13" i="12" s="1"/>
  <c r="AY18" i="11"/>
  <c r="AT18" i="11"/>
  <c r="AU19" i="11"/>
  <c r="C9" i="12" s="1"/>
  <c r="T9" i="12" s="1"/>
  <c r="AV18" i="11"/>
  <c r="AX19" i="11"/>
  <c r="AU27" i="11"/>
  <c r="Q10" i="12" s="1"/>
  <c r="R10" i="12" s="1"/>
  <c r="AV15" i="11"/>
  <c r="AU24" i="11"/>
  <c r="H14" i="12" s="1"/>
  <c r="X13" i="12" s="1"/>
  <c r="AV16" i="11"/>
  <c r="AU13" i="11"/>
  <c r="C12" i="12" s="1"/>
  <c r="T12" i="12" s="1"/>
  <c r="AV22" i="11"/>
  <c r="AU12" i="11"/>
  <c r="H8" i="12" s="1"/>
  <c r="X9" i="12" s="1"/>
  <c r="AY15" i="11"/>
  <c r="AU16" i="11"/>
  <c r="Q17" i="12" s="1"/>
  <c r="R17" i="12" s="1"/>
  <c r="AU15" i="11"/>
  <c r="Q8" i="12" s="1"/>
  <c r="R8" i="12" s="1"/>
  <c r="AV13" i="11"/>
  <c r="AY13" i="11"/>
  <c r="AV28" i="11"/>
  <c r="AV26" i="11"/>
  <c r="AZ18" i="11"/>
  <c r="AW18" i="11"/>
  <c r="AW21" i="11"/>
  <c r="AY14" i="11"/>
  <c r="AW14" i="11"/>
  <c r="AZ12" i="11"/>
  <c r="AW12" i="11"/>
  <c r="AW25" i="11"/>
  <c r="AW28" i="11"/>
  <c r="AW26" i="11"/>
  <c r="AW22" i="11"/>
  <c r="AW20" i="11"/>
  <c r="AW15" i="11"/>
  <c r="AW13" i="11"/>
  <c r="AW16" i="11"/>
  <c r="AW24" i="11"/>
  <c r="AW27" i="11"/>
  <c r="AX12" i="11"/>
  <c r="AZ16" i="11"/>
  <c r="AZ25" i="11"/>
  <c r="AZ28" i="11"/>
  <c r="AZ26" i="11"/>
  <c r="AZ27" i="11"/>
  <c r="AV20" i="11"/>
  <c r="AY22" i="11"/>
  <c r="AY20" i="11"/>
  <c r="AY25" i="11"/>
  <c r="AX25" i="11"/>
  <c r="AX21" i="11"/>
  <c r="AY21" i="11"/>
  <c r="AX20" i="11"/>
  <c r="V14" i="12" l="1" a="1"/>
  <c r="V14" i="12" s="1"/>
  <c r="W14" i="12" s="1"/>
  <c r="I31" i="13"/>
  <c r="AV10" i="11"/>
  <c r="AU10" i="11"/>
  <c r="AX9" i="11"/>
  <c r="AV9" i="11"/>
  <c r="AW9" i="11"/>
  <c r="AU8" i="11"/>
  <c r="AX8" i="11"/>
  <c r="AW8" i="11"/>
  <c r="AV8" i="11"/>
  <c r="AX6" i="11"/>
  <c r="AV6" i="11"/>
  <c r="AU6" i="11"/>
  <c r="AW6" i="11"/>
  <c r="AW7" i="11"/>
  <c r="AV7" i="11"/>
  <c r="AX7" i="11"/>
  <c r="AU7" i="11"/>
  <c r="AX10" i="11"/>
  <c r="AW10" i="11"/>
  <c r="T14" i="12"/>
  <c r="V13" i="12" a="1"/>
  <c r="V13" i="12" s="1"/>
  <c r="W13" i="12" s="1"/>
  <c r="V9" i="12" a="1"/>
  <c r="V9" i="12" s="1"/>
  <c r="W9" i="12" s="1"/>
  <c r="Z13" i="12" a="1"/>
  <c r="Z13" i="12" s="1"/>
  <c r="AA13" i="12" s="1"/>
  <c r="V10" i="12" a="1"/>
  <c r="V10" i="12" s="1"/>
  <c r="W10" i="12" s="1"/>
  <c r="Z12" i="12" a="1"/>
  <c r="Z12" i="12" s="1"/>
  <c r="AA12" i="12" s="1"/>
  <c r="X12" i="12"/>
  <c r="AZ6" i="11"/>
  <c r="M11" i="12"/>
  <c r="AB11" i="12" s="1"/>
  <c r="AY6" i="11"/>
  <c r="AT6" i="11"/>
  <c r="AW11" i="11" l="1"/>
  <c r="AZ10" i="11"/>
  <c r="AZ7" i="11"/>
  <c r="AZ8" i="11"/>
  <c r="C11" i="12"/>
  <c r="V12" i="12" s="1" a="1"/>
  <c r="V12" i="12" s="1"/>
  <c r="W12" i="12" s="1"/>
  <c r="Q16" i="12"/>
  <c r="AY10" i="11"/>
  <c r="AY7" i="11"/>
  <c r="C7" i="12"/>
  <c r="T7" i="12" s="1"/>
  <c r="AY8" i="11"/>
  <c r="Q7" i="12"/>
  <c r="AY9" i="11"/>
  <c r="AZ9" i="11"/>
  <c r="AT19" i="11"/>
  <c r="AT20" i="11" s="1"/>
  <c r="AT21" i="11" s="1"/>
  <c r="AT13" i="11"/>
  <c r="AT14" i="11" s="1"/>
  <c r="AT15" i="11" s="1"/>
  <c r="AT16" i="11" s="1"/>
  <c r="K16" i="13" s="1"/>
  <c r="N16" i="13" s="1"/>
  <c r="AT25" i="11"/>
  <c r="AT26" i="11" s="1"/>
  <c r="AT27" i="11" s="1"/>
  <c r="H7" i="12"/>
  <c r="Z8" i="12" s="1" a="1"/>
  <c r="Z8" i="12" s="1"/>
  <c r="AA8" i="12" s="1"/>
  <c r="AT7" i="11" l="1"/>
  <c r="AT8" i="11" s="1"/>
  <c r="AT9" i="11" s="1"/>
  <c r="V7" i="12" a="1"/>
  <c r="V7" i="12" s="1"/>
  <c r="W7" i="12" s="1"/>
  <c r="V8" i="12" a="1"/>
  <c r="V8" i="12" s="1"/>
  <c r="V11" i="12" a="1"/>
  <c r="V11" i="12" s="1"/>
  <c r="W11" i="12" s="1"/>
  <c r="T11" i="12"/>
  <c r="G13" i="14" s="1"/>
  <c r="K13" i="13"/>
  <c r="K15" i="13"/>
  <c r="N15" i="13" s="1"/>
  <c r="AT28" i="11"/>
  <c r="K26" i="13" s="1"/>
  <c r="AT22" i="11"/>
  <c r="K20" i="13" s="1"/>
  <c r="N20" i="13" s="1"/>
  <c r="L16" i="13"/>
  <c r="K17" i="13"/>
  <c r="K14" i="13"/>
  <c r="N14" i="13" s="1"/>
  <c r="Z9" i="12" a="1"/>
  <c r="Z9" i="12" s="1"/>
  <c r="AA9" i="12" s="1"/>
  <c r="M10" i="12"/>
  <c r="X8" i="12"/>
  <c r="R16" i="12"/>
  <c r="K19" i="13" l="1"/>
  <c r="K27" i="13"/>
  <c r="N27" i="13" s="1"/>
  <c r="K21" i="13"/>
  <c r="N21" i="13" s="1"/>
  <c r="AT10" i="11"/>
  <c r="K10" i="13" s="1"/>
  <c r="L13" i="13"/>
  <c r="N13" i="13"/>
  <c r="N17" i="13"/>
  <c r="W8" i="12"/>
  <c r="M16" i="13" s="1"/>
  <c r="U7" i="12"/>
  <c r="U10" i="12"/>
  <c r="G3" i="14"/>
  <c r="U8" i="12"/>
  <c r="U12" i="12"/>
  <c r="G10" i="14"/>
  <c r="G19" i="14"/>
  <c r="G18" i="14"/>
  <c r="G8" i="14"/>
  <c r="G11" i="14"/>
  <c r="G9" i="14"/>
  <c r="U9" i="12"/>
  <c r="U14" i="12"/>
  <c r="U13" i="12"/>
  <c r="G2" i="14"/>
  <c r="G6" i="14"/>
  <c r="G7" i="14"/>
  <c r="G20" i="14"/>
  <c r="G21" i="14"/>
  <c r="G5" i="14"/>
  <c r="G16" i="14"/>
  <c r="G17" i="14"/>
  <c r="G14" i="14"/>
  <c r="G15" i="14"/>
  <c r="G12" i="14"/>
  <c r="G4" i="14"/>
  <c r="U11" i="12"/>
  <c r="K25" i="13"/>
  <c r="N25" i="13" s="1"/>
  <c r="L26" i="13"/>
  <c r="N26" i="13"/>
  <c r="O26" i="13" s="1"/>
  <c r="L19" i="13"/>
  <c r="N19" i="13"/>
  <c r="M15" i="13"/>
  <c r="M13" i="13"/>
  <c r="M26" i="13"/>
  <c r="L15" i="13"/>
  <c r="K28" i="13"/>
  <c r="N28" i="13" s="1"/>
  <c r="K22" i="13"/>
  <c r="N22" i="13" s="1"/>
  <c r="K29" i="13"/>
  <c r="N29" i="13" s="1"/>
  <c r="M20" i="13"/>
  <c r="L20" i="13"/>
  <c r="K23" i="13"/>
  <c r="N23" i="13" s="1"/>
  <c r="M14" i="13"/>
  <c r="H3" i="14"/>
  <c r="H5" i="14"/>
  <c r="H7" i="14"/>
  <c r="H9" i="14"/>
  <c r="H11" i="14"/>
  <c r="H13" i="14"/>
  <c r="H15" i="14"/>
  <c r="H17" i="14"/>
  <c r="H19" i="14"/>
  <c r="H21" i="14"/>
  <c r="H4" i="14"/>
  <c r="H6" i="14"/>
  <c r="H8" i="14"/>
  <c r="H10" i="14"/>
  <c r="H12" i="14"/>
  <c r="H14" i="14"/>
  <c r="H16" i="14"/>
  <c r="H18" i="14"/>
  <c r="H20" i="14"/>
  <c r="H2" i="14"/>
  <c r="M17" i="13"/>
  <c r="M19" i="13"/>
  <c r="Y8" i="12"/>
  <c r="Y12" i="12"/>
  <c r="Y9" i="12"/>
  <c r="Y13" i="12"/>
  <c r="L17" i="13"/>
  <c r="L14" i="13"/>
  <c r="BC31" i="11"/>
  <c r="R7" i="12"/>
  <c r="AD10" i="12" a="1"/>
  <c r="AD10" i="12" s="1"/>
  <c r="AE10" i="12" s="1"/>
  <c r="AB10" i="12"/>
  <c r="AD11" i="12" a="1"/>
  <c r="AD11" i="12" s="1"/>
  <c r="L21" i="13" l="1"/>
  <c r="K11" i="13"/>
  <c r="N11" i="13" s="1"/>
  <c r="O11" i="13" s="1"/>
  <c r="K8" i="13"/>
  <c r="N8" i="13" s="1"/>
  <c r="O8" i="13" s="1"/>
  <c r="M21" i="13"/>
  <c r="L27" i="13"/>
  <c r="M27" i="13"/>
  <c r="K7" i="13"/>
  <c r="N7" i="13" s="1"/>
  <c r="K9" i="13"/>
  <c r="N9" i="13" s="1"/>
  <c r="N10" i="13"/>
  <c r="O10" i="13" s="1"/>
  <c r="L10" i="13"/>
  <c r="M10" i="13"/>
  <c r="O27" i="13"/>
  <c r="AE11" i="12"/>
  <c r="O25" i="13" s="1"/>
  <c r="G22" i="14"/>
  <c r="M25" i="13"/>
  <c r="O19" i="13"/>
  <c r="P19" i="13" s="1"/>
  <c r="L25" i="13"/>
  <c r="P26" i="13"/>
  <c r="M28" i="13"/>
  <c r="L28" i="13"/>
  <c r="M22" i="13"/>
  <c r="L22" i="13"/>
  <c r="O22" i="13"/>
  <c r="O20" i="13"/>
  <c r="P20" i="13" s="1"/>
  <c r="L29" i="13"/>
  <c r="M29" i="13"/>
  <c r="M23" i="13"/>
  <c r="L23" i="13"/>
  <c r="O23" i="13"/>
  <c r="O21" i="13"/>
  <c r="O28" i="13"/>
  <c r="O29" i="13"/>
  <c r="I3" i="14"/>
  <c r="D3" i="14" s="1"/>
  <c r="I5" i="14"/>
  <c r="D5" i="14" s="1"/>
  <c r="I7" i="14"/>
  <c r="D7" i="14" s="1"/>
  <c r="I9" i="14"/>
  <c r="D9" i="14" s="1"/>
  <c r="I11" i="14"/>
  <c r="D11" i="14" s="1"/>
  <c r="I13" i="14"/>
  <c r="D13" i="14" s="1"/>
  <c r="I15" i="14"/>
  <c r="D15" i="14" s="1"/>
  <c r="I17" i="14"/>
  <c r="D17" i="14" s="1"/>
  <c r="I19" i="14"/>
  <c r="D19" i="14" s="1"/>
  <c r="I21" i="14"/>
  <c r="D21" i="14" s="1"/>
  <c r="I4" i="14"/>
  <c r="D4" i="14" s="1"/>
  <c r="I6" i="14"/>
  <c r="D6" i="14" s="1"/>
  <c r="I8" i="14"/>
  <c r="D8" i="14" s="1"/>
  <c r="I10" i="14"/>
  <c r="D10" i="14" s="1"/>
  <c r="I12" i="14"/>
  <c r="D12" i="14" s="1"/>
  <c r="I14" i="14"/>
  <c r="D14" i="14" s="1"/>
  <c r="I16" i="14"/>
  <c r="D16" i="14" s="1"/>
  <c r="I18" i="14"/>
  <c r="D18" i="14" s="1"/>
  <c r="I20" i="14"/>
  <c r="D20" i="14" s="1"/>
  <c r="I2" i="14"/>
  <c r="H22" i="14"/>
  <c r="AC11" i="12"/>
  <c r="M11" i="13" l="1"/>
  <c r="L11" i="13"/>
  <c r="L8" i="13"/>
  <c r="M8" i="13"/>
  <c r="P21" i="13"/>
  <c r="M9" i="13"/>
  <c r="M7" i="13"/>
  <c r="P27" i="13"/>
  <c r="P10" i="13"/>
  <c r="L9" i="13"/>
  <c r="L7" i="13"/>
  <c r="O9" i="13"/>
  <c r="P25" i="13"/>
  <c r="O7" i="13"/>
  <c r="P28" i="13"/>
  <c r="P22" i="13"/>
  <c r="P29" i="13"/>
  <c r="P23" i="13"/>
  <c r="O13" i="13"/>
  <c r="P13" i="13" s="1"/>
  <c r="O14" i="13"/>
  <c r="P14" i="13" s="1"/>
  <c r="O17" i="13"/>
  <c r="P17" i="13" s="1"/>
  <c r="O15" i="13"/>
  <c r="P15" i="13" s="1"/>
  <c r="O16" i="13"/>
  <c r="P16" i="13" s="1"/>
  <c r="I22" i="14"/>
  <c r="D2" i="14"/>
  <c r="D22" i="14" s="1"/>
  <c r="P11" i="13"/>
  <c r="P7" i="13" l="1"/>
  <c r="P8" i="13"/>
  <c r="P9" i="13"/>
</calcChain>
</file>

<file path=xl/sharedStrings.xml><?xml version="1.0" encoding="utf-8"?>
<sst xmlns="http://schemas.openxmlformats.org/spreadsheetml/2006/main" count="235" uniqueCount="169">
  <si>
    <t>NOM</t>
  </si>
  <si>
    <t>score</t>
  </si>
  <si>
    <t>jeux</t>
  </si>
  <si>
    <t>TIRAGE</t>
  </si>
  <si>
    <t>NOM        Prénom</t>
  </si>
  <si>
    <t>AS</t>
  </si>
  <si>
    <t>Rang</t>
  </si>
  <si>
    <t>Class.1</t>
  </si>
  <si>
    <t>Résultats</t>
  </si>
  <si>
    <t>NOMS</t>
  </si>
  <si>
    <t>Pts</t>
  </si>
  <si>
    <t>GA</t>
  </si>
  <si>
    <t>Classement</t>
  </si>
  <si>
    <t>Class</t>
  </si>
  <si>
    <t>Gagnée</t>
  </si>
  <si>
    <t>Groupe</t>
  </si>
  <si>
    <t xml:space="preserve">1ère Partie </t>
  </si>
  <si>
    <t>2ème Partie</t>
  </si>
  <si>
    <t>3ème Partie</t>
  </si>
  <si>
    <t>Pts Faits</t>
  </si>
  <si>
    <t>Pts Concédés</t>
  </si>
  <si>
    <t>1 à 20</t>
  </si>
  <si>
    <t>F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</si>
  <si>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</si>
  <si>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</si>
  <si>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</si>
  <si>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</si>
  <si>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</si>
  <si>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Nbre de parties gagnées colonne E pour la Fiche d'inscription</t>
  </si>
  <si>
    <t>Le tableau  colonne R donne les points de catégorisation M3: 2 pts par partie gagnée et M4 1 pt par partie gagnée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</si>
  <si>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</si>
  <si>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</si>
  <si>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</si>
  <si>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</si>
  <si>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</si>
  <si>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Ce tableau permet de suivre l'évolution des parties ainsi que les points de classement</t>
  </si>
  <si>
    <t>(Si possible avec un écran visible des joueurs)</t>
  </si>
  <si>
    <t>Enregistrer le tirage de 1 à 20  colonne D</t>
  </si>
  <si>
    <t>Parties groupes</t>
  </si>
  <si>
    <t>Phases Finales</t>
  </si>
  <si>
    <t>Points</t>
  </si>
  <si>
    <t>Enregistrer résultats colonnes J, S et AB</t>
  </si>
  <si>
    <t>PARTIE DE CLASSEMENT</t>
  </si>
  <si>
    <t>1/2 FINALE 1</t>
  </si>
  <si>
    <t>1A</t>
  </si>
  <si>
    <t>FINALE</t>
  </si>
  <si>
    <t>1B</t>
  </si>
  <si>
    <t>1C</t>
  </si>
  <si>
    <t>1D</t>
  </si>
  <si>
    <t>2A</t>
  </si>
  <si>
    <t>1/2 FINALE 2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</si>
  <si>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</si>
  <si>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</si>
  <si>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</si>
  <si>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</si>
  <si>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</si>
  <si>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</si>
  <si>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</si>
  <si>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</si>
  <si>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</si>
  <si>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</si>
  <si>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</si>
  <si>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</si>
  <si>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</si>
  <si>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</si>
  <si>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</si>
  <si>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</si>
  <si>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</si>
  <si>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</si>
  <si>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N°</t>
  </si>
  <si>
    <t>NOM   Prénom</t>
  </si>
  <si>
    <t>Nbre parties Gagnées</t>
  </si>
  <si>
    <t>Points de Catégorisation</t>
  </si>
  <si>
    <t>4ème de Poule</t>
  </si>
  <si>
    <t>CLASS.</t>
  </si>
  <si>
    <t>1/2 F</t>
  </si>
  <si>
    <t>T OTAL</t>
  </si>
  <si>
    <t>Part. Class.</t>
  </si>
  <si>
    <t>Points de Catégorisation sortie Groupe</t>
  </si>
  <si>
    <t>1ère P</t>
  </si>
  <si>
    <t>2ème P</t>
  </si>
  <si>
    <t>3ème P</t>
  </si>
  <si>
    <t>Epreuve d'appui</t>
  </si>
  <si>
    <t>5ème de Poule</t>
  </si>
  <si>
    <t>OFFICE</t>
  </si>
  <si>
    <t>Pts Class.</t>
  </si>
  <si>
    <t xml:space="preserve">Parties </t>
  </si>
  <si>
    <t>Parties Class.</t>
  </si>
  <si>
    <t>Epreuve d'appui ou opposition directe</t>
  </si>
  <si>
    <t>Epr. d'appui ou oppos.</t>
  </si>
  <si>
    <t>IMPORTANT</t>
  </si>
  <si>
    <t>Quelques points de règlement</t>
  </si>
  <si>
    <t>Les parties se déroulent en 13 points ou 1h45</t>
  </si>
  <si>
    <t>Le NUL n’est pas admis, il faut forcément une équipe vainqueur.</t>
  </si>
  <si>
    <t>A l’intérieur du groupe de 4, chaque équipe rencontre les 3 autres équipes de son groupe</t>
  </si>
  <si>
    <t>(Groupe de 5 chaque équipe fait 3 rencontres)</t>
  </si>
  <si>
    <r>
      <t>Classement dans les groupes</t>
    </r>
    <r>
      <rPr>
        <sz val="14"/>
        <rFont val="Times New Roman"/>
        <family val="1"/>
      </rPr>
      <t> :</t>
    </r>
  </si>
  <si>
    <r>
      <t>1.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Nombre de parties gagnées dans le groupe</t>
    </r>
  </si>
  <si>
    <r>
      <t>2.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d’égalité du nombre de parties gagnées entre 2 équipes, celles-ci sont départagées par l’opposition directe</t>
    </r>
  </si>
  <si>
    <r>
      <t>3.</t>
    </r>
    <r>
      <rPr>
        <sz val="7"/>
        <color rgb="FFFF0000"/>
        <rFont val="Times New Roman"/>
        <family val="1"/>
      </rPr>
      <t xml:space="preserve">     </t>
    </r>
    <r>
      <rPr>
        <sz val="14"/>
        <color rgb="FFFF0000"/>
        <rFont val="Times New Roman"/>
        <family val="1"/>
      </rPr>
      <t>(Si il n'y a pas eu d'opposition directe)</t>
    </r>
  </si>
  <si>
    <r>
      <t>4.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d’égalité du nombre de parties gagnées entre 3 équipes, celles-ci sont départagées par le goal avérage général (Automatique)</t>
    </r>
  </si>
  <si>
    <r>
      <t>5.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Si l’égalité persiste entre 2 équipes, celles-ci sont départagées par l’opposition directe</t>
    </r>
  </si>
  <si>
    <r>
      <t>6.</t>
    </r>
    <r>
      <rPr>
        <sz val="7"/>
        <rFont val="Times New Roman"/>
        <family val="1"/>
      </rPr>
      <t xml:space="preserve">     </t>
    </r>
    <r>
      <rPr>
        <sz val="14"/>
        <rFont val="Times New Roman"/>
        <family val="1"/>
      </rPr>
      <t>En cas d'égalité parfaite il y aura une épreuve d'appui sur le principe de celle jouée en club sportif.</t>
    </r>
  </si>
  <si>
    <t>(Article 10.7 - Annexe 5 du règlement sportif)</t>
  </si>
  <si>
    <t>(Chaque équipe désigne 1 pointeur et 1 tireur )</t>
  </si>
  <si>
    <t xml:space="preserve">10.7 - Epreuve d’appui </t>
  </si>
  <si>
    <t xml:space="preserve">En cas d’égalité parfaite à l’issue d’un match qualificatif (match simple ou match retour), il est fait appel à l’épreuve d’appui. </t>
  </si>
  <si>
    <t xml:space="preserve">L’épreuve d’appui est considérée comme une épreuve à part entière du match </t>
  </si>
  <si>
    <t xml:space="preserve">Modalités de déroulement de l’épreuve d’appui : </t>
  </si>
  <si>
    <r>
      <t>*</t>
    </r>
    <r>
      <rPr>
        <sz val="14"/>
        <color rgb="FF000000"/>
        <rFont val="Times New Roman"/>
        <family val="1"/>
      </rPr>
      <t>La cible au centre du rectangle de validité de lancer de but (Cercle de 70cm)</t>
    </r>
  </si>
  <si>
    <t xml:space="preserve">*  Chaque équipe désigne 1 joueur : </t>
  </si>
  <si>
    <t>* 1 pointeur dans une cible  1 point par boule réussi (Biberon non pris en compte)</t>
  </si>
  <si>
    <t xml:space="preserve">* 1 tireur  tir au but, 1 point par tir réussi (Carreau non pris en compte). </t>
  </si>
  <si>
    <t>*I'ordre de passage est alterné pointeurs puis tireur</t>
  </si>
  <si>
    <t>EPREUVE D'APPUI</t>
  </si>
  <si>
    <t>Modalité et extrait du règlement</t>
  </si>
  <si>
    <t>Si pas d'opposition directe le GA général détermine la position</t>
  </si>
  <si>
    <t>En cas d'égalité parfaite après ces critères il faut faire une épreuve d'appui (Voir onglet correspondant)</t>
  </si>
  <si>
    <t>En cas d'égalité  entre 3 équipes c'est le GA général qui détermine la position</t>
  </si>
  <si>
    <t>1/2 Finales</t>
  </si>
  <si>
    <t>Après la 3ème partie  si deux égalités enregistrer 1 à l'équipe qui à gagné l'opposition directe</t>
  </si>
  <si>
    <t>Epreuve d'appui ou résultat particulier colonne  AD</t>
  </si>
  <si>
    <t>Si pour une raison quelconque  dans le classement final une formule affiche une anomalie lorsque toutes les parties sont términées</t>
  </si>
  <si>
    <t xml:space="preserve">il faut corriger manuellement en enlevant la protection: </t>
  </si>
  <si>
    <t>*</t>
  </si>
  <si>
    <t xml:space="preserve">Cliquer sur révision  en haut ensuite sur Oter la protection  puis effectuer la correction en comptant les points </t>
  </si>
  <si>
    <t xml:space="preserve">Attribution des points suivant le règlement </t>
  </si>
  <si>
    <t>Groupe de 5 équipes</t>
  </si>
  <si>
    <t>Contre</t>
  </si>
  <si>
    <t>VEYRE Cyril</t>
  </si>
  <si>
    <t>DEMARS Mickael</t>
  </si>
  <si>
    <t>REYNAUD Corentin</t>
  </si>
  <si>
    <t>DEMENUS Robin</t>
  </si>
  <si>
    <t>GUILLEN BERNARD</t>
  </si>
  <si>
    <t>RIOUFREYT MAXIME</t>
  </si>
  <si>
    <t>POULAILLON Philippe</t>
  </si>
  <si>
    <t>PATOT THIERRY</t>
  </si>
  <si>
    <t>DURANTON Stéphane</t>
  </si>
  <si>
    <t>SERVY Jérome</t>
  </si>
  <si>
    <t>COMTE Denis</t>
  </si>
  <si>
    <t xml:space="preserve">MAIRE Gaël </t>
  </si>
  <si>
    <t>GAILLARD Jean Louis</t>
  </si>
  <si>
    <t>FONTANEL Julien</t>
  </si>
  <si>
    <t>MOURZELAS Martial</t>
  </si>
  <si>
    <t>MARION Fabrice</t>
  </si>
  <si>
    <t xml:space="preserve">RISSOAN Grégory </t>
  </si>
  <si>
    <t>VERSINO Fabien</t>
  </si>
  <si>
    <t>BLACHIER Yvan</t>
  </si>
  <si>
    <t>Le Cheylard</t>
  </si>
  <si>
    <t>Annonay</t>
  </si>
  <si>
    <t>SATILLIEU</t>
  </si>
  <si>
    <t>QUINTENAS</t>
  </si>
  <si>
    <t>Saint Marcel les Annonay</t>
  </si>
  <si>
    <t>Villevocance</t>
  </si>
  <si>
    <t>Vernosc</t>
  </si>
  <si>
    <t>Colombier le Vieux</t>
  </si>
  <si>
    <t xml:space="preserve">Saint Victor </t>
  </si>
  <si>
    <t>Tournon</t>
  </si>
  <si>
    <t>Mariac</t>
  </si>
  <si>
    <t>Talencieux</t>
  </si>
  <si>
    <t>SERRIERES</t>
  </si>
  <si>
    <t>Lamastre</t>
  </si>
  <si>
    <t>Saint Agrévoise</t>
  </si>
  <si>
    <t>St Victor</t>
  </si>
  <si>
    <t xml:space="preserve"> M3   1ère Journée</t>
  </si>
  <si>
    <t>GRAND Emmanuel</t>
  </si>
  <si>
    <t>Saint alban d'Ay</t>
  </si>
  <si>
    <t>St Victor 14/09/2024 1ère journée M3</t>
  </si>
  <si>
    <t>CONCOURS QUALIFICATIFS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</si>
</sst>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[$-F800]dddd\,\ mmmm\ dd\,\ yyyy"/>
  </numFmts>
  <fonts count="55">
    <font>
      <sz val="10"/>
      <name val="Arial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6" tint="0.39997558519241921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i/>
      <sz val="12"/>
      <color theme="3" tint="-0.249977111117893"/>
      <name val="Arial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20"/>
      <color theme="0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4"/>
      <color theme="6" tint="0.39997558519241921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20"/>
      <color theme="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indexed="8"/>
      <name val="Arial"/>
      <family val="2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name val="Times New Roman"/>
      <family val="1"/>
    </font>
    <font>
      <sz val="14"/>
      <name val="Calibri"/>
      <family val="2"/>
    </font>
    <font>
      <sz val="7"/>
      <name val="Times New Roman"/>
      <family val="1"/>
    </font>
    <font>
      <sz val="14"/>
      <color rgb="FFFF0000"/>
      <name val="Calibri"/>
      <family val="2"/>
    </font>
    <font>
      <sz val="7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454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164" fontId="11" fillId="0" borderId="14" xfId="0" quotePrefix="1" applyNumberFormat="1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 vertical="center"/>
    </xf>
    <xf numFmtId="0" fontId="0" fillId="0" borderId="33" xfId="0" applyBorder="1"/>
    <xf numFmtId="0" fontId="0" fillId="0" borderId="26" xfId="0" applyBorder="1"/>
    <xf numFmtId="0" fontId="12" fillId="0" borderId="10" xfId="0" applyFont="1" applyBorder="1" applyAlignment="1" applyProtection="1">
      <alignment horizontal="center" vertical="center" wrapText="1"/>
      <protection locked="0"/>
    </xf>
    <xf numFmtId="0" fontId="0" fillId="0" borderId="30" xfId="0" applyBorder="1"/>
    <xf numFmtId="0" fontId="0" fillId="0" borderId="31" xfId="0" applyBorder="1"/>
    <xf numFmtId="0" fontId="0" fillId="0" borderId="37" xfId="0" applyBorder="1"/>
    <xf numFmtId="0" fontId="0" fillId="0" borderId="25" xfId="0" applyBorder="1"/>
    <xf numFmtId="0" fontId="0" fillId="0" borderId="38" xfId="0" applyBorder="1"/>
    <xf numFmtId="0" fontId="0" fillId="0" borderId="22" xfId="0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1" fillId="0" borderId="48" xfId="0" quotePrefix="1" applyFont="1" applyBorder="1" applyAlignment="1">
      <alignment horizontal="center" vertical="center"/>
    </xf>
    <xf numFmtId="0" fontId="6" fillId="0" borderId="26" xfId="0" applyFont="1" applyBorder="1" applyProtection="1">
      <protection locked="0"/>
    </xf>
    <xf numFmtId="0" fontId="1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20" fillId="0" borderId="0" xfId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5" fillId="13" borderId="4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/>
    </xf>
    <xf numFmtId="0" fontId="31" fillId="0" borderId="4" xfId="1" applyFont="1" applyBorder="1" applyAlignment="1" applyProtection="1">
      <alignment horizontal="center" vertical="center" wrapText="1"/>
      <protection locked="0"/>
    </xf>
    <xf numFmtId="0" fontId="31" fillId="0" borderId="0" xfId="1" applyFont="1" applyAlignment="1">
      <alignment horizontal="center" vertical="center" wrapText="1"/>
    </xf>
    <xf numFmtId="0" fontId="34" fillId="0" borderId="14" xfId="0" quotePrefix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4" fillId="0" borderId="49" xfId="0" quotePrefix="1" applyFont="1" applyBorder="1" applyAlignment="1">
      <alignment horizontal="center" vertical="center"/>
    </xf>
    <xf numFmtId="0" fontId="34" fillId="12" borderId="51" xfId="0" quotePrefix="1" applyFont="1" applyFill="1" applyBorder="1" applyAlignment="1">
      <alignment horizontal="center" vertical="center"/>
    </xf>
    <xf numFmtId="0" fontId="34" fillId="12" borderId="4" xfId="0" quotePrefix="1" applyFont="1" applyFill="1" applyBorder="1" applyAlignment="1">
      <alignment horizontal="center" vertical="center"/>
    </xf>
    <xf numFmtId="0" fontId="34" fillId="12" borderId="49" xfId="0" quotePrefix="1" applyFont="1" applyFill="1" applyBorder="1" applyAlignment="1">
      <alignment horizontal="center" vertical="center"/>
    </xf>
    <xf numFmtId="0" fontId="34" fillId="12" borderId="16" xfId="0" quotePrefix="1" applyFont="1" applyFill="1" applyBorder="1" applyAlignment="1">
      <alignment horizontal="center" vertical="center"/>
    </xf>
    <xf numFmtId="0" fontId="34" fillId="12" borderId="44" xfId="0" quotePrefix="1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31" fillId="0" borderId="3" xfId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24" fillId="0" borderId="19" xfId="0" quotePrefix="1" applyFont="1" applyBorder="1" applyAlignment="1">
      <alignment horizontal="center" vertical="center" wrapText="1"/>
    </xf>
    <xf numFmtId="0" fontId="34" fillId="0" borderId="32" xfId="0" quotePrefix="1" applyFont="1" applyBorder="1" applyAlignment="1">
      <alignment horizontal="center" vertical="center"/>
    </xf>
    <xf numFmtId="0" fontId="34" fillId="0" borderId="62" xfId="0" quotePrefix="1" applyFont="1" applyBorder="1" applyAlignment="1">
      <alignment horizontal="center" vertical="center"/>
    </xf>
    <xf numFmtId="0" fontId="24" fillId="0" borderId="19" xfId="0" quotePrefix="1" applyFont="1" applyBorder="1" applyAlignment="1">
      <alignment horizontal="center" vertical="center"/>
    </xf>
    <xf numFmtId="0" fontId="34" fillId="12" borderId="18" xfId="0" quotePrefix="1" applyFont="1" applyFill="1" applyBorder="1" applyAlignment="1">
      <alignment horizontal="center" vertical="center"/>
    </xf>
    <xf numFmtId="0" fontId="34" fillId="12" borderId="19" xfId="0" quotePrefix="1" applyFont="1" applyFill="1" applyBorder="1" applyAlignment="1">
      <alignment horizontal="center" vertical="center"/>
    </xf>
    <xf numFmtId="0" fontId="34" fillId="12" borderId="45" xfId="0" quotePrefix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35" fillId="13" borderId="41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0" fontId="34" fillId="0" borderId="64" xfId="0" quotePrefix="1" applyFont="1" applyBorder="1" applyAlignment="1">
      <alignment horizontal="center" vertical="center"/>
    </xf>
    <xf numFmtId="0" fontId="34" fillId="12" borderId="65" xfId="0" quotePrefix="1" applyFont="1" applyFill="1" applyBorder="1" applyAlignment="1">
      <alignment horizontal="center" vertical="center"/>
    </xf>
    <xf numFmtId="0" fontId="24" fillId="12" borderId="23" xfId="0" quotePrefix="1" applyFont="1" applyFill="1" applyBorder="1" applyAlignment="1">
      <alignment horizontal="center" vertical="center"/>
    </xf>
    <xf numFmtId="0" fontId="34" fillId="12" borderId="64" xfId="0" quotePrefix="1" applyFont="1" applyFill="1" applyBorder="1" applyAlignment="1">
      <alignment horizontal="center" vertical="center"/>
    </xf>
    <xf numFmtId="0" fontId="34" fillId="0" borderId="66" xfId="0" quotePrefix="1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center" vertical="center"/>
    </xf>
    <xf numFmtId="0" fontId="34" fillId="0" borderId="67" xfId="0" quotePrefix="1" applyFont="1" applyBorder="1" applyAlignment="1">
      <alignment horizontal="center" vertical="center"/>
    </xf>
    <xf numFmtId="0" fontId="35" fillId="13" borderId="43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0" fontId="24" fillId="0" borderId="34" xfId="0" quotePrefix="1" applyFont="1" applyBorder="1" applyAlignment="1">
      <alignment horizontal="center" vertical="center" wrapText="1"/>
    </xf>
    <xf numFmtId="0" fontId="24" fillId="12" borderId="4" xfId="0" quotePrefix="1" applyFont="1" applyFill="1" applyBorder="1" applyAlignment="1">
      <alignment horizontal="center" vertical="center"/>
    </xf>
    <xf numFmtId="0" fontId="34" fillId="0" borderId="16" xfId="0" quotePrefix="1" applyFont="1" applyBorder="1" applyAlignment="1">
      <alignment horizontal="center" vertical="center"/>
    </xf>
    <xf numFmtId="0" fontId="34" fillId="0" borderId="44" xfId="0" quotePrefix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31" fillId="0" borderId="26" xfId="1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31" fillId="0" borderId="0" xfId="0" applyFont="1"/>
    <xf numFmtId="0" fontId="34" fillId="0" borderId="21" xfId="0" applyFont="1" applyBorder="1" applyAlignment="1">
      <alignment horizontal="center" vertical="center" wrapText="1"/>
    </xf>
    <xf numFmtId="0" fontId="34" fillId="0" borderId="50" xfId="0" quotePrefix="1" applyFont="1" applyBorder="1" applyAlignment="1">
      <alignment horizontal="center" vertical="center"/>
    </xf>
    <xf numFmtId="0" fontId="34" fillId="12" borderId="54" xfId="0" quotePrefix="1" applyFont="1" applyFill="1" applyBorder="1" applyAlignment="1">
      <alignment horizontal="center" vertical="center"/>
    </xf>
    <xf numFmtId="0" fontId="34" fillId="12" borderId="3" xfId="0" quotePrefix="1" applyFont="1" applyFill="1" applyBorder="1" applyAlignment="1">
      <alignment horizontal="center" vertical="center"/>
    </xf>
    <xf numFmtId="0" fontId="34" fillId="12" borderId="50" xfId="0" quotePrefix="1" applyFont="1" applyFill="1" applyBorder="1" applyAlignment="1">
      <alignment horizontal="center" vertical="center"/>
    </xf>
    <xf numFmtId="0" fontId="34" fillId="12" borderId="20" xfId="0" quotePrefix="1" applyFont="1" applyFill="1" applyBorder="1" applyAlignment="1">
      <alignment horizontal="center" vertical="center"/>
    </xf>
    <xf numFmtId="0" fontId="34" fillId="12" borderId="46" xfId="0" quotePrefix="1" applyFont="1" applyFill="1" applyBorder="1" applyAlignment="1">
      <alignment horizontal="center" vertical="center"/>
    </xf>
    <xf numFmtId="0" fontId="36" fillId="16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vertical="center"/>
      <protection locked="0"/>
    </xf>
    <xf numFmtId="0" fontId="19" fillId="0" borderId="27" xfId="0" quotePrefix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39" xfId="0" quotePrefix="1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6" xfId="0" applyFont="1" applyBorder="1"/>
    <xf numFmtId="0" fontId="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indent="3"/>
    </xf>
    <xf numFmtId="0" fontId="47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4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3" borderId="30" xfId="0" applyFont="1" applyFill="1" applyBorder="1" applyAlignment="1">
      <alignment horizontal="center" vertical="center"/>
    </xf>
    <xf numFmtId="0" fontId="14" fillId="0" borderId="31" xfId="0" applyFont="1" applyBorder="1"/>
    <xf numFmtId="0" fontId="15" fillId="0" borderId="31" xfId="0" applyFont="1" applyBorder="1"/>
    <xf numFmtId="0" fontId="6" fillId="0" borderId="31" xfId="0" applyFont="1" applyBorder="1"/>
    <xf numFmtId="0" fontId="6" fillId="0" borderId="37" xfId="0" applyFont="1" applyBorder="1"/>
    <xf numFmtId="0" fontId="14" fillId="0" borderId="25" xfId="0" applyFont="1" applyBorder="1" applyAlignment="1">
      <alignment horizontal="center" vertical="center"/>
    </xf>
    <xf numFmtId="0" fontId="6" fillId="0" borderId="38" xfId="0" applyFont="1" applyBorder="1"/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/>
    <xf numFmtId="0" fontId="15" fillId="0" borderId="26" xfId="0" applyFont="1" applyBorder="1"/>
    <xf numFmtId="0" fontId="6" fillId="0" borderId="33" xfId="0" applyFont="1" applyBorder="1"/>
    <xf numFmtId="0" fontId="42" fillId="0" borderId="15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21" fillId="0" borderId="1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61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9" xfId="0" quotePrefix="1" applyFont="1" applyBorder="1" applyAlignment="1">
      <alignment horizontal="center" vertical="center" wrapText="1"/>
    </xf>
    <xf numFmtId="0" fontId="19" fillId="0" borderId="32" xfId="0" quotePrefix="1" applyFont="1" applyBorder="1" applyAlignment="1">
      <alignment horizontal="center" vertical="center" wrapText="1"/>
    </xf>
    <xf numFmtId="0" fontId="19" fillId="0" borderId="50" xfId="0" quotePrefix="1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0" fillId="0" borderId="49" xfId="0" quotePrefix="1" applyFont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0" borderId="28" xfId="0" quotePrefix="1" applyFont="1" applyBorder="1" applyAlignment="1">
      <alignment horizontal="center" vertical="center"/>
    </xf>
    <xf numFmtId="0" fontId="10" fillId="0" borderId="32" xfId="0" quotePrefix="1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68" xfId="0" quotePrefix="1" applyFont="1" applyBorder="1" applyAlignment="1">
      <alignment horizontal="center" vertical="center"/>
    </xf>
    <xf numFmtId="0" fontId="10" fillId="0" borderId="69" xfId="0" quotePrefix="1" applyFont="1" applyBorder="1" applyAlignment="1">
      <alignment horizontal="center" vertical="center"/>
    </xf>
    <xf numFmtId="0" fontId="10" fillId="0" borderId="50" xfId="0" quotePrefix="1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0" borderId="33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11" borderId="32" xfId="0" applyFont="1" applyFill="1" applyBorder="1" applyAlignment="1">
      <alignment horizontal="center" vertical="center"/>
    </xf>
    <xf numFmtId="0" fontId="10" fillId="12" borderId="3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12" borderId="50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11" borderId="47" xfId="0" applyFont="1" applyFill="1" applyBorder="1" applyAlignment="1">
      <alignment horizontal="center" vertical="center"/>
    </xf>
    <xf numFmtId="0" fontId="10" fillId="12" borderId="47" xfId="0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0" fillId="12" borderId="7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2" fillId="12" borderId="15" xfId="0" applyFont="1" applyFill="1" applyBorder="1" applyAlignment="1">
      <alignment horizontal="left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7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11" fillId="12" borderId="8" xfId="0" applyFont="1" applyFill="1" applyBorder="1" applyAlignment="1" applyProtection="1">
      <alignment horizontal="center"/>
      <protection locked="0"/>
    </xf>
    <xf numFmtId="0" fontId="2" fillId="12" borderId="70" xfId="0" applyFont="1" applyFill="1" applyBorder="1" applyAlignment="1">
      <alignment horizontal="center" vertical="center" wrapText="1"/>
    </xf>
    <xf numFmtId="0" fontId="6" fillId="12" borderId="12" xfId="0" applyFont="1" applyFill="1" applyBorder="1" applyProtection="1">
      <protection locked="0"/>
    </xf>
    <xf numFmtId="0" fontId="6" fillId="12" borderId="15" xfId="0" applyFont="1" applyFill="1" applyBorder="1" applyAlignment="1" applyProtection="1">
      <alignment horizontal="center"/>
      <protection locked="0"/>
    </xf>
    <xf numFmtId="0" fontId="10" fillId="11" borderId="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52" fillId="0" borderId="17" xfId="0" quotePrefix="1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4" xfId="0" quotePrefix="1" applyFont="1" applyBorder="1" applyAlignment="1">
      <alignment horizontal="center" vertical="center" wrapText="1"/>
    </xf>
    <xf numFmtId="0" fontId="10" fillId="8" borderId="17" xfId="0" quotePrefix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1" xfId="0" quotePrefix="1" applyFont="1" applyFill="1" applyBorder="1" applyAlignment="1">
      <alignment horizontal="center" vertical="center" wrapText="1"/>
    </xf>
    <xf numFmtId="0" fontId="10" fillId="0" borderId="22" xfId="0" quotePrefix="1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vertical="center"/>
      <protection locked="0"/>
    </xf>
    <xf numFmtId="0" fontId="54" fillId="0" borderId="14" xfId="0" applyFont="1" applyBorder="1" applyAlignment="1" applyProtection="1">
      <alignment vertical="center"/>
      <protection locked="0"/>
    </xf>
    <xf numFmtId="0" fontId="53" fillId="3" borderId="14" xfId="0" applyFont="1" applyFill="1" applyBorder="1" applyAlignment="1" applyProtection="1">
      <alignment vertical="center"/>
      <protection locked="0"/>
    </xf>
    <xf numFmtId="0" fontId="54" fillId="17" borderId="14" xfId="0" applyFont="1" applyFill="1" applyBorder="1" applyAlignment="1" applyProtection="1">
      <alignment vertical="center"/>
      <protection locked="0"/>
    </xf>
    <xf numFmtId="0" fontId="53" fillId="17" borderId="14" xfId="0" applyFont="1" applyFill="1" applyBorder="1" applyAlignment="1" applyProtection="1">
      <alignment vertical="center"/>
      <protection locked="0"/>
    </xf>
    <xf numFmtId="0" fontId="53" fillId="18" borderId="14" xfId="0" applyFont="1" applyFill="1" applyBorder="1" applyAlignment="1" applyProtection="1">
      <alignment vertical="center"/>
      <protection locked="0"/>
    </xf>
    <xf numFmtId="0" fontId="54" fillId="18" borderId="14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12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7" fillId="11" borderId="5" xfId="0" applyFont="1" applyFill="1" applyBorder="1" applyAlignment="1" applyProtection="1">
      <alignment horizontal="center" vertical="center" wrapText="1"/>
      <protection locked="0"/>
    </xf>
    <xf numFmtId="0" fontId="7" fillId="11" borderId="11" xfId="0" applyFont="1" applyFill="1" applyBorder="1" applyAlignment="1" applyProtection="1">
      <alignment horizontal="center" vertical="center" wrapText="1"/>
      <protection locked="0"/>
    </xf>
    <xf numFmtId="0" fontId="7" fillId="11" borderId="12" xfId="0" applyFont="1" applyFill="1" applyBorder="1" applyAlignment="1" applyProtection="1">
      <alignment horizontal="center" vertical="center" wrapText="1"/>
      <protection locked="0"/>
    </xf>
    <xf numFmtId="165" fontId="7" fillId="15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15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11" xfId="1" applyFont="1" applyFill="1" applyBorder="1" applyAlignment="1" applyProtection="1">
      <alignment horizontal="center" vertical="center" wrapText="1"/>
      <protection locked="0"/>
    </xf>
    <xf numFmtId="0" fontId="4" fillId="3" borderId="12" xfId="1" applyFont="1" applyFill="1" applyBorder="1" applyAlignment="1" applyProtection="1">
      <alignment horizontal="center" vertical="center" wrapText="1"/>
      <protection locked="0"/>
    </xf>
    <xf numFmtId="0" fontId="38" fillId="14" borderId="5" xfId="0" applyFont="1" applyFill="1" applyBorder="1" applyAlignment="1" applyProtection="1">
      <alignment horizontal="center" vertical="center" wrapText="1"/>
      <protection locked="0"/>
    </xf>
    <xf numFmtId="0" fontId="38" fillId="14" borderId="11" xfId="0" applyFont="1" applyFill="1" applyBorder="1" applyAlignment="1" applyProtection="1">
      <alignment horizontal="center" vertical="center" wrapText="1"/>
      <protection locked="0"/>
    </xf>
    <xf numFmtId="0" fontId="38" fillId="14" borderId="12" xfId="0" applyFont="1" applyFill="1" applyBorder="1" applyAlignment="1" applyProtection="1">
      <alignment horizontal="center" vertical="center" wrapText="1"/>
      <protection locked="0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2" xfId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32" fillId="14" borderId="5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32" fillId="14" borderId="12" xfId="0" applyFont="1" applyFill="1" applyBorder="1" applyAlignment="1">
      <alignment horizontal="center" vertical="center" wrapText="1"/>
    </xf>
    <xf numFmtId="165" fontId="17" fillId="15" borderId="5" xfId="0" applyNumberFormat="1" applyFont="1" applyFill="1" applyBorder="1" applyAlignment="1">
      <alignment horizontal="center" vertical="center" wrapText="1"/>
    </xf>
    <xf numFmtId="165" fontId="17" fillId="15" borderId="11" xfId="0" applyNumberFormat="1" applyFont="1" applyFill="1" applyBorder="1" applyAlignment="1">
      <alignment horizontal="center" vertical="center" wrapText="1"/>
    </xf>
    <xf numFmtId="165" fontId="17" fillId="15" borderId="12" xfId="0" applyNumberFormat="1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13" borderId="5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65" fontId="27" fillId="0" borderId="2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2">
    <dxf>
      <font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CCFF"/>
      <color rgb="FF66FF33"/>
      <color rgb="FFFFCCFF"/>
      <color rgb="FFFF66CC"/>
      <color rgb="FF00FFFF"/>
      <color rgb="FF0066FF"/>
      <color rgb="FFFFFF66"/>
      <color rgb="FFFF99FF"/>
      <color rgb="FFD7E4BC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261937</xdr:colOff>
      <xdr:row>6</xdr:row>
      <xdr:rowOff>83344</xdr:rowOff>
    </xdr:from>
    <xdr:ext cx="8926162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61937" y="1054894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2024.25</a:t>
          </a:r>
        </a:p>
      </xdr:txBody>
    </xdr:sp>
    <xdr:clientData/>
  </xdr:oneCellAnchor>
  <xdr:oneCellAnchor>
    <xdr:from>
      <xdr:col>1</xdr:col>
      <xdr:colOff>655617</xdr:colOff>
      <xdr:row>16</xdr:row>
      <xdr:rowOff>154781</xdr:rowOff>
    </xdr:from>
    <xdr:ext cx="6244145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417617" y="2821781"/>
          <a:ext cx="62441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Journée   ST VICTOR</a:t>
          </a:r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601272" cy="134466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3048000" y="4833938"/>
          <a:ext cx="1601272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M3</a:t>
          </a:r>
        </a:p>
      </xdr:txBody>
    </xdr:sp>
    <xdr:clientData/>
  </xdr:oneCellAnchor>
  <xdr:oneCellAnchor>
    <xdr:from>
      <xdr:col>3</xdr:col>
      <xdr:colOff>728429</xdr:colOff>
      <xdr:row>24</xdr:row>
      <xdr:rowOff>59531</xdr:rowOff>
    </xdr:from>
    <xdr:ext cx="2453236" cy="65588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014429" y="4060031"/>
          <a:ext cx="2453236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14/09/2024</a:t>
          </a:r>
        </a:p>
      </xdr:txBody>
    </xdr:sp>
    <xdr:clientData/>
  </xdr:oneCellAnchor>
  <xdr:twoCellAnchor editAs="oneCell">
    <xdr:from>
      <xdr:col>0</xdr:col>
      <xdr:colOff>381000</xdr:colOff>
      <xdr:row>0</xdr:row>
      <xdr:rowOff>76200</xdr:rowOff>
    </xdr:from>
    <xdr:to>
      <xdr:col>1</xdr:col>
      <xdr:colOff>591000</xdr:colOff>
      <xdr:row>6</xdr:row>
      <xdr:rowOff>105497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6200"/>
          <a:ext cx="972000" cy="1000847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361950</xdr:colOff>
      <xdr:row>0</xdr:row>
      <xdr:rowOff>104775</xdr:rowOff>
    </xdr:from>
    <xdr:to>
      <xdr:col>11</xdr:col>
      <xdr:colOff>276225</xdr:colOff>
      <xdr:row>6</xdr:row>
      <xdr:rowOff>73464</xdr:rowOff>
    </xdr:to>
    <xdr:pic>
      <xdr:nvPicPr>
        <xdr:cNvPr id="8" name="Image 7" descr="cbd07a - Copie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81950" y="104775"/>
          <a:ext cx="676275" cy="940239"/>
        </a:xfrm>
        <a:prstGeom prst="rect">
          <a:avLst/>
        </a:prstGeom>
      </xdr:spPr>
    </xdr:pic>
    <xdr:clientData/>
  </xdr:twoCellAnchor>
  <xdr:oneCellAnchor>
    <xdr:from>
      <xdr:col>4</xdr:col>
      <xdr:colOff>47626</xdr:colOff>
      <xdr:row>0</xdr:row>
      <xdr:rowOff>83343</xdr:rowOff>
    </xdr:from>
    <xdr:ext cx="2445966" cy="90487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095626" y="83343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solidFill>
                <a:srgbClr val="0066FF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35</xdr:row>
      <xdr:rowOff>28575</xdr:rowOff>
    </xdr:from>
    <xdr:to>
      <xdr:col>0</xdr:col>
      <xdr:colOff>1876425</xdr:colOff>
      <xdr:row>35</xdr:row>
      <xdr:rowOff>228600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647700" y="8667750"/>
          <a:ext cx="1228725" cy="200025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%20HILAIRE\Downloads\Logiciels%20Concours%20Qualificatifs%20M4\C.Q.%20M4%201&#232;re%20J\C.%20Q.%20.1&#232;re%20J_S_1.10.22_M4%20Cornas_Ok_V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ties%20group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A_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_1_M4 Cornas"/>
      <sheetName val="Déroulé"/>
      <sheetName val="Liste Equipes"/>
      <sheetName val="1A_G"/>
      <sheetName val="1A_F"/>
      <sheetName val="1A_Cl."/>
      <sheetName val="1A_C.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CONCOURS QUALIFICATIFS - ARDECHE 2022.23</v>
          </cell>
        </row>
        <row r="7"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R15">
            <v>0</v>
          </cell>
          <cell r="S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R17">
            <v>0</v>
          </cell>
          <cell r="S17">
            <v>0</v>
          </cell>
        </row>
        <row r="18"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group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_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L43"/>
  <sheetViews>
    <sheetView zoomScale="80" zoomScaleNormal="80" workbookViewId="0">
      <selection activeCell="F50" sqref="F50"/>
    </sheetView>
  </sheetViews>
  <sheetFormatPr baseColWidth="10" defaultRowHeight="12.75"/>
  <sheetData>
    <row r="1" spans="1:1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>
      <c r="A2" s="16"/>
      <c r="L2" s="17"/>
    </row>
    <row r="3" spans="1:12">
      <c r="A3" s="16"/>
      <c r="L3" s="17"/>
    </row>
    <row r="4" spans="1:12">
      <c r="A4" s="16"/>
      <c r="L4" s="17"/>
    </row>
    <row r="5" spans="1:12">
      <c r="A5" s="16"/>
      <c r="L5" s="17"/>
    </row>
    <row r="6" spans="1:12">
      <c r="A6" s="16"/>
      <c r="L6" s="17"/>
    </row>
    <row r="7" spans="1:12">
      <c r="A7" s="16"/>
      <c r="L7" s="17"/>
    </row>
    <row r="8" spans="1:12">
      <c r="A8" s="16"/>
      <c r="L8" s="17"/>
    </row>
    <row r="9" spans="1:12">
      <c r="A9" s="16"/>
      <c r="L9" s="17"/>
    </row>
    <row r="10" spans="1:12">
      <c r="A10" s="16"/>
      <c r="L10" s="17"/>
    </row>
    <row r="11" spans="1:12">
      <c r="A11" s="16"/>
      <c r="L11" s="17"/>
    </row>
    <row r="12" spans="1:12">
      <c r="A12" s="16"/>
      <c r="L12" s="17"/>
    </row>
    <row r="13" spans="1:12">
      <c r="A13" s="16"/>
      <c r="L13" s="17"/>
    </row>
    <row r="14" spans="1:12">
      <c r="A14" s="16"/>
      <c r="L14" s="17"/>
    </row>
    <row r="15" spans="1:12">
      <c r="A15" s="16"/>
      <c r="L15" s="17"/>
    </row>
    <row r="16" spans="1:12">
      <c r="A16" s="16"/>
      <c r="L16" s="17"/>
    </row>
    <row r="17" spans="1:12">
      <c r="A17" s="16"/>
      <c r="L17" s="17"/>
    </row>
    <row r="18" spans="1:12">
      <c r="A18" s="16"/>
      <c r="L18" s="17"/>
    </row>
    <row r="19" spans="1:12">
      <c r="A19" s="16"/>
      <c r="L19" s="17"/>
    </row>
    <row r="20" spans="1:12">
      <c r="A20" s="16"/>
      <c r="L20" s="17"/>
    </row>
    <row r="21" spans="1:12">
      <c r="A21" s="16"/>
      <c r="L21" s="17"/>
    </row>
    <row r="22" spans="1:12">
      <c r="A22" s="16"/>
      <c r="L22" s="17"/>
    </row>
    <row r="23" spans="1:12">
      <c r="A23" s="16"/>
      <c r="L23" s="17"/>
    </row>
    <row r="24" spans="1:12">
      <c r="A24" s="16"/>
      <c r="L24" s="17"/>
    </row>
    <row r="25" spans="1:12">
      <c r="A25" s="16"/>
      <c r="L25" s="17"/>
    </row>
    <row r="26" spans="1:12">
      <c r="A26" s="16"/>
      <c r="L26" s="17"/>
    </row>
    <row r="27" spans="1:12">
      <c r="A27" s="16"/>
      <c r="L27" s="17"/>
    </row>
    <row r="28" spans="1:12">
      <c r="A28" s="16"/>
      <c r="L28" s="17"/>
    </row>
    <row r="29" spans="1:12">
      <c r="A29" s="16"/>
      <c r="L29" s="17"/>
    </row>
    <row r="30" spans="1:12">
      <c r="A30" s="16"/>
      <c r="L30" s="17"/>
    </row>
    <row r="31" spans="1:12">
      <c r="A31" s="16"/>
      <c r="L31" s="17"/>
    </row>
    <row r="32" spans="1:12">
      <c r="A32" s="16"/>
      <c r="L32" s="17"/>
    </row>
    <row r="33" spans="1:12">
      <c r="A33" s="16"/>
      <c r="L33" s="17"/>
    </row>
    <row r="34" spans="1:12">
      <c r="A34" s="16"/>
      <c r="L34" s="17"/>
    </row>
    <row r="35" spans="1:12">
      <c r="A35" s="16"/>
      <c r="L35" s="17"/>
    </row>
    <row r="36" spans="1:12">
      <c r="A36" s="16"/>
      <c r="L36" s="17"/>
    </row>
    <row r="37" spans="1:12">
      <c r="A37" s="16"/>
      <c r="L37" s="17"/>
    </row>
    <row r="38" spans="1:12">
      <c r="A38" s="16"/>
      <c r="L38" s="17"/>
    </row>
    <row r="39" spans="1:12">
      <c r="A39" s="16"/>
      <c r="L39" s="17"/>
    </row>
    <row r="40" spans="1:12">
      <c r="A40" s="16"/>
      <c r="L40" s="17"/>
    </row>
    <row r="41" spans="1:12">
      <c r="A41" s="16"/>
      <c r="L41" s="17"/>
    </row>
    <row r="42" spans="1:12">
      <c r="A42" s="16"/>
      <c r="L42" s="17"/>
    </row>
    <row r="43" spans="1:12" ht="13.5" thickBot="1">
      <c r="A43" s="18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0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workbookViewId="0">
      <selection activeCell="B43" sqref="B43"/>
    </sheetView>
  </sheetViews>
  <sheetFormatPr baseColWidth="10" defaultColWidth="11.42578125" defaultRowHeight="12.75"/>
  <cols>
    <col min="1" max="1" width="33.85546875" style="7" customWidth="1"/>
    <col min="2" max="16384" width="11.42578125" style="7"/>
  </cols>
  <sheetData>
    <row r="1" spans="1:12" ht="26.25">
      <c r="A1" s="379" t="s">
        <v>23</v>
      </c>
      <c r="B1" s="379"/>
      <c r="C1" s="379"/>
      <c r="D1" s="379"/>
      <c r="E1" s="379"/>
      <c r="F1" s="379"/>
      <c r="G1" s="379"/>
    </row>
    <row r="2" spans="1:12" ht="21" thickBot="1">
      <c r="A2" s="19"/>
      <c r="B2" s="20"/>
      <c r="C2" s="20"/>
      <c r="D2" s="20"/>
      <c r="E2" s="20"/>
      <c r="F2" s="21"/>
      <c r="G2" s="21"/>
    </row>
    <row r="3" spans="1:12" ht="21" thickBot="1">
      <c r="A3" s="206" t="s">
        <v>24</v>
      </c>
      <c r="B3" s="20"/>
      <c r="C3" s="20"/>
      <c r="D3" s="20"/>
      <c r="E3" s="20"/>
      <c r="F3" s="21"/>
      <c r="G3" s="21"/>
    </row>
    <row r="4" spans="1:12" ht="20.25">
      <c r="A4" s="19">
        <v>1</v>
      </c>
      <c r="B4" s="20" t="s">
        <v>25</v>
      </c>
      <c r="C4" s="20"/>
      <c r="D4" s="20"/>
      <c r="E4" s="20"/>
      <c r="F4" s="21"/>
      <c r="G4" s="21"/>
    </row>
    <row r="5" spans="1:12" ht="10.5" customHeight="1">
      <c r="A5" s="19"/>
      <c r="B5" s="20"/>
      <c r="C5" s="20"/>
      <c r="D5" s="20"/>
      <c r="E5" s="20"/>
      <c r="F5" s="21"/>
      <c r="G5" s="21"/>
    </row>
    <row r="6" spans="1:12" ht="20.25">
      <c r="A6" s="19">
        <v>2</v>
      </c>
      <c r="B6" s="20" t="s">
        <v>26</v>
      </c>
      <c r="C6" s="20"/>
      <c r="D6" s="20"/>
      <c r="E6" s="20"/>
      <c r="F6" s="21"/>
      <c r="G6" s="21"/>
    </row>
    <row r="7" spans="1:12" ht="13.5" customHeight="1">
      <c r="A7" s="19"/>
      <c r="B7" s="20"/>
      <c r="C7" s="20"/>
      <c r="D7" s="20"/>
      <c r="E7" s="20"/>
      <c r="F7" s="21"/>
      <c r="G7" s="21"/>
    </row>
    <row r="8" spans="1:12" ht="20.25">
      <c r="A8" s="19" t="s">
        <v>38</v>
      </c>
      <c r="B8" s="20" t="s">
        <v>27</v>
      </c>
      <c r="C8" s="20"/>
      <c r="D8" s="20"/>
      <c r="E8" s="20"/>
      <c r="F8" s="21"/>
      <c r="G8" s="21"/>
    </row>
    <row r="9" spans="1:12" ht="20.25">
      <c r="A9" s="19"/>
      <c r="B9" s="20" t="s">
        <v>37</v>
      </c>
      <c r="C9" s="20"/>
      <c r="D9" s="20"/>
      <c r="E9" s="20"/>
      <c r="F9" s="21"/>
      <c r="G9" s="21"/>
    </row>
    <row r="10" spans="1:12" ht="14.25" customHeight="1">
      <c r="A10" s="19"/>
      <c r="B10" s="20"/>
      <c r="C10" s="20"/>
      <c r="D10" s="20"/>
      <c r="E10" s="20"/>
      <c r="F10" s="21"/>
      <c r="G10" s="21"/>
    </row>
    <row r="11" spans="1:12" ht="20.25">
      <c r="A11" s="19"/>
      <c r="B11" s="20" t="s">
        <v>41</v>
      </c>
      <c r="C11" s="20"/>
      <c r="D11" s="20"/>
      <c r="E11" s="20"/>
      <c r="F11" s="21"/>
      <c r="G11" s="21"/>
    </row>
    <row r="12" spans="1:12" ht="21" thickBot="1">
      <c r="A12" s="19"/>
      <c r="B12" s="20"/>
      <c r="C12" s="20"/>
      <c r="D12" s="20"/>
      <c r="E12" s="20"/>
      <c r="F12" s="21"/>
      <c r="G12" s="21"/>
    </row>
    <row r="13" spans="1:12" ht="20.25">
      <c r="A13" s="195" t="s">
        <v>90</v>
      </c>
      <c r="B13" s="196" t="s">
        <v>120</v>
      </c>
      <c r="C13" s="196"/>
      <c r="D13" s="196"/>
      <c r="E13" s="196"/>
      <c r="F13" s="197"/>
      <c r="G13" s="197"/>
      <c r="H13" s="198"/>
      <c r="I13" s="198"/>
      <c r="J13" s="198"/>
      <c r="K13" s="198"/>
      <c r="L13" s="199"/>
    </row>
    <row r="14" spans="1:12" ht="20.25">
      <c r="A14" s="200"/>
      <c r="B14" s="20" t="s">
        <v>116</v>
      </c>
      <c r="C14" s="20"/>
      <c r="D14" s="20"/>
      <c r="E14" s="20"/>
      <c r="F14" s="21"/>
      <c r="G14" s="21"/>
      <c r="L14" s="201"/>
    </row>
    <row r="15" spans="1:12" ht="20.25">
      <c r="A15" s="200"/>
      <c r="B15" s="20" t="s">
        <v>117</v>
      </c>
      <c r="C15" s="20"/>
      <c r="D15" s="20"/>
      <c r="E15" s="20"/>
      <c r="F15" s="21"/>
      <c r="G15" s="21"/>
      <c r="L15" s="201"/>
    </row>
    <row r="16" spans="1:12" ht="21" thickBot="1">
      <c r="A16" s="202"/>
      <c r="B16" s="203" t="s">
        <v>118</v>
      </c>
      <c r="C16" s="203"/>
      <c r="D16" s="203"/>
      <c r="E16" s="203"/>
      <c r="F16" s="204"/>
      <c r="G16" s="204"/>
      <c r="H16" s="175"/>
      <c r="I16" s="175"/>
      <c r="J16" s="175"/>
      <c r="K16" s="175"/>
      <c r="L16" s="205"/>
    </row>
    <row r="17" spans="1:7" ht="20.25">
      <c r="A17" s="19"/>
      <c r="C17" s="20"/>
      <c r="D17" s="20"/>
      <c r="E17" s="20"/>
      <c r="F17" s="21"/>
      <c r="G17" s="21"/>
    </row>
    <row r="18" spans="1:7" ht="20.25">
      <c r="A18" s="19" t="s">
        <v>39</v>
      </c>
      <c r="B18" s="20" t="s">
        <v>30</v>
      </c>
      <c r="C18" s="20"/>
      <c r="D18" s="20"/>
      <c r="E18" s="20"/>
      <c r="F18" s="21"/>
      <c r="G18" s="21"/>
    </row>
    <row r="19" spans="1:7" ht="20.25">
      <c r="A19" s="19"/>
      <c r="B19" s="20" t="s">
        <v>31</v>
      </c>
      <c r="C19" s="20"/>
      <c r="D19" s="20"/>
      <c r="E19" s="20"/>
      <c r="F19" s="21"/>
      <c r="G19" s="21"/>
    </row>
    <row r="20" spans="1:7" ht="20.25">
      <c r="A20" s="19"/>
      <c r="B20" s="20" t="s">
        <v>32</v>
      </c>
      <c r="C20" s="20"/>
      <c r="D20" s="20"/>
      <c r="E20" s="20"/>
      <c r="F20" s="21"/>
      <c r="G20" s="21"/>
    </row>
    <row r="21" spans="1:7" ht="20.25">
      <c r="A21" s="19"/>
      <c r="B21" s="20" t="s">
        <v>33</v>
      </c>
      <c r="C21" s="20"/>
      <c r="D21" s="20"/>
      <c r="E21" s="20"/>
      <c r="F21" s="21"/>
      <c r="G21" s="21"/>
    </row>
    <row r="22" spans="1:7" ht="20.25">
      <c r="A22" s="19"/>
      <c r="B22" s="20" t="s">
        <v>34</v>
      </c>
      <c r="C22" s="20"/>
      <c r="D22" s="20"/>
      <c r="E22" s="20"/>
      <c r="F22" s="21"/>
      <c r="G22" s="21"/>
    </row>
    <row r="23" spans="1:7" ht="18" customHeight="1">
      <c r="A23" s="19"/>
      <c r="B23" s="20"/>
      <c r="C23" s="20"/>
      <c r="D23" s="20"/>
      <c r="E23" s="20"/>
      <c r="F23" s="21"/>
      <c r="G23" s="21"/>
    </row>
    <row r="24" spans="1:7" ht="20.25">
      <c r="A24" s="19" t="s">
        <v>12</v>
      </c>
      <c r="B24" s="20" t="s">
        <v>35</v>
      </c>
      <c r="C24" s="20"/>
      <c r="D24" s="20"/>
      <c r="E24" s="20"/>
      <c r="F24" s="21"/>
      <c r="G24" s="21"/>
    </row>
    <row r="25" spans="1:7" ht="20.25">
      <c r="A25" s="22"/>
      <c r="B25" s="20" t="s">
        <v>36</v>
      </c>
      <c r="C25" s="21"/>
      <c r="D25" s="21"/>
      <c r="E25" s="21"/>
      <c r="F25" s="21"/>
      <c r="G25" s="21"/>
    </row>
    <row r="26" spans="1:7" ht="15">
      <c r="A26" s="22"/>
      <c r="B26" s="21"/>
      <c r="C26" s="21"/>
      <c r="D26" s="21"/>
      <c r="E26" s="21"/>
      <c r="F26" s="21"/>
      <c r="G26" s="21"/>
    </row>
    <row r="28" spans="1:7" ht="20.25">
      <c r="A28" s="23" t="s">
        <v>40</v>
      </c>
      <c r="B28" s="20" t="s">
        <v>29</v>
      </c>
    </row>
    <row r="29" spans="1:7" ht="20.25">
      <c r="B29" s="24" t="s">
        <v>28</v>
      </c>
    </row>
    <row r="30" spans="1:7" ht="20.25">
      <c r="B30" s="24"/>
    </row>
    <row r="31" spans="1:7" ht="20.25">
      <c r="B31" s="24" t="s">
        <v>121</v>
      </c>
      <c r="C31" s="24"/>
    </row>
    <row r="32" spans="1:7" ht="20.25">
      <c r="B32" s="24"/>
      <c r="C32" s="24"/>
    </row>
    <row r="33" spans="1:3" ht="20.25">
      <c r="A33" s="24" t="s">
        <v>114</v>
      </c>
      <c r="B33" s="24" t="s">
        <v>115</v>
      </c>
      <c r="C33" s="24"/>
    </row>
    <row r="34" spans="1:3" ht="20.25">
      <c r="C34" s="24"/>
    </row>
    <row r="35" spans="1:3" ht="20.25">
      <c r="C35" s="24"/>
    </row>
    <row r="36" spans="1:3" ht="20.25">
      <c r="A36" s="218" t="s">
        <v>124</v>
      </c>
      <c r="B36" s="24" t="s">
        <v>122</v>
      </c>
      <c r="C36" s="24"/>
    </row>
    <row r="37" spans="1:3" ht="20.25">
      <c r="B37" s="24" t="s">
        <v>123</v>
      </c>
      <c r="C37" s="24"/>
    </row>
    <row r="38" spans="1:3" ht="20.25">
      <c r="B38" s="24" t="s">
        <v>125</v>
      </c>
      <c r="C38" s="24"/>
    </row>
    <row r="39" spans="1:3" ht="20.25">
      <c r="C39" s="24" t="s">
        <v>126</v>
      </c>
    </row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54"/>
  <sheetViews>
    <sheetView tabSelected="1" topLeftCell="F1" zoomScale="70" zoomScaleNormal="70" workbookViewId="0">
      <selection activeCell="I14" sqref="I14"/>
    </sheetView>
  </sheetViews>
  <sheetFormatPr baseColWidth="10" defaultColWidth="11.42578125" defaultRowHeight="15"/>
  <cols>
    <col min="1" max="1" width="6.5703125" style="1" customWidth="1"/>
    <col min="2" max="2" width="39.28515625" style="1" customWidth="1"/>
    <col min="3" max="3" width="27.42578125" style="1" customWidth="1"/>
    <col min="4" max="4" width="14" style="1" customWidth="1"/>
    <col min="5" max="5" width="4.85546875" style="6" customWidth="1"/>
    <col min="6" max="6" width="10.42578125" style="6" customWidth="1"/>
    <col min="7" max="7" width="6.5703125" style="1" customWidth="1"/>
    <col min="8" max="8" width="6.85546875" style="1" customWidth="1"/>
    <col min="9" max="9" width="35" style="1" customWidth="1"/>
    <col min="10" max="10" width="8.7109375" style="1" customWidth="1"/>
    <col min="11" max="11" width="9.42578125" style="1" hidden="1" customWidth="1"/>
    <col min="12" max="12" width="8.42578125" style="1" hidden="1" customWidth="1"/>
    <col min="13" max="13" width="9.140625" style="1" hidden="1" customWidth="1"/>
    <col min="14" max="14" width="8.140625" style="1" hidden="1" customWidth="1"/>
    <col min="15" max="15" width="9.42578125" style="1" hidden="1" customWidth="1"/>
    <col min="16" max="16" width="4" style="1" customWidth="1"/>
    <col min="17" max="17" width="10" style="1" customWidth="1"/>
    <col min="18" max="18" width="37.28515625" style="1" customWidth="1"/>
    <col min="19" max="19" width="10.5703125" style="1" customWidth="1"/>
    <col min="20" max="20" width="10.140625" style="1" hidden="1" customWidth="1"/>
    <col min="21" max="21" width="8.42578125" style="1" hidden="1" customWidth="1"/>
    <col min="22" max="22" width="11.28515625" style="1" hidden="1" customWidth="1"/>
    <col min="23" max="23" width="10.140625" style="1" hidden="1" customWidth="1"/>
    <col min="24" max="24" width="9.42578125" style="1" hidden="1" customWidth="1"/>
    <col min="25" max="25" width="3.7109375" style="1" customWidth="1"/>
    <col min="26" max="26" width="10.28515625" style="1" customWidth="1"/>
    <col min="27" max="27" width="37.42578125" style="1" customWidth="1"/>
    <col min="28" max="28" width="11.42578125" style="1" customWidth="1"/>
    <col min="29" max="30" width="10.140625" style="1" hidden="1" customWidth="1"/>
    <col min="31" max="31" width="9.140625" style="311" hidden="1" customWidth="1"/>
    <col min="32" max="32" width="10.85546875" style="1" hidden="1" customWidth="1"/>
    <col min="33" max="33" width="11.28515625" style="1" hidden="1" customWidth="1"/>
    <col min="34" max="34" width="5.42578125" customWidth="1"/>
    <col min="35" max="35" width="32.85546875" style="1" customWidth="1"/>
    <col min="36" max="36" width="8" style="1" customWidth="1"/>
    <col min="37" max="37" width="8.42578125" style="1" customWidth="1"/>
    <col min="38" max="38" width="10.5703125" style="1" bestFit="1" customWidth="1"/>
    <col min="39" max="39" width="16" style="1" customWidth="1"/>
    <col min="40" max="40" width="7.28515625" style="1" hidden="1" customWidth="1"/>
    <col min="41" max="41" width="18.7109375" style="1" customWidth="1"/>
    <col min="42" max="42" width="15.140625" style="1" hidden="1" customWidth="1"/>
    <col min="43" max="43" width="4.42578125" style="1" hidden="1" customWidth="1"/>
    <col min="44" max="44" width="19.7109375" style="1" hidden="1" customWidth="1"/>
    <col min="45" max="45" width="7.5703125" style="1" customWidth="1"/>
    <col min="46" max="46" width="8.85546875" style="1" customWidth="1"/>
    <col min="47" max="47" width="35.7109375" style="6" customWidth="1"/>
    <col min="48" max="49" width="9" style="6" customWidth="1"/>
    <col min="50" max="50" width="9.28515625" style="6" customWidth="1"/>
    <col min="51" max="51" width="10" style="6" hidden="1" customWidth="1"/>
    <col min="52" max="52" width="13.5703125" style="1" customWidth="1"/>
    <col min="53" max="53" width="7.7109375" style="1" customWidth="1"/>
    <col min="54" max="54" width="34.140625" style="1" hidden="1" customWidth="1"/>
    <col min="55" max="55" width="12.42578125" style="1" hidden="1" customWidth="1"/>
    <col min="56" max="56" width="11.42578125" style="1" hidden="1" customWidth="1"/>
    <col min="57" max="57" width="10.85546875" style="1" hidden="1" customWidth="1"/>
    <col min="58" max="58" width="10.42578125" style="1" hidden="1" customWidth="1"/>
    <col min="59" max="16384" width="11.42578125" style="1"/>
  </cols>
  <sheetData>
    <row r="1" spans="1:58" ht="39" customHeight="1" thickBot="1">
      <c r="A1" s="408" t="s">
        <v>168</v>
      </c>
      <c r="B1" s="409"/>
      <c r="C1" s="409"/>
      <c r="D1" s="409"/>
      <c r="E1" s="409"/>
      <c r="F1" s="409"/>
      <c r="G1" s="410"/>
      <c r="H1" s="402" t="s">
        <v>163</v>
      </c>
      <c r="I1" s="403"/>
      <c r="J1" s="404"/>
      <c r="N1" s="6"/>
      <c r="O1" s="6"/>
      <c r="P1" s="6"/>
      <c r="Q1"/>
      <c r="R1"/>
      <c r="S1"/>
      <c r="T1"/>
      <c r="U1"/>
      <c r="V1" s="146"/>
      <c r="W1"/>
      <c r="X1"/>
      <c r="Y1"/>
      <c r="Z1"/>
      <c r="AA1"/>
      <c r="AB1"/>
      <c r="AC1"/>
      <c r="AD1" s="5"/>
      <c r="AE1" s="310"/>
      <c r="AF1" s="5"/>
      <c r="AG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58" ht="33" customHeight="1" thickBot="1">
      <c r="A2" s="411" t="s">
        <v>164</v>
      </c>
      <c r="B2" s="412"/>
      <c r="C2" s="412"/>
      <c r="D2" s="412"/>
      <c r="E2" s="412"/>
      <c r="F2" s="412"/>
      <c r="G2" s="413"/>
      <c r="H2" s="405">
        <v>45549</v>
      </c>
      <c r="I2" s="406"/>
      <c r="J2" s="407"/>
      <c r="N2" s="6"/>
      <c r="O2" s="6"/>
      <c r="Q2"/>
      <c r="R2"/>
      <c r="S2"/>
      <c r="T2"/>
      <c r="U2"/>
      <c r="V2" s="146"/>
      <c r="W2"/>
      <c r="X2"/>
      <c r="Y2"/>
      <c r="Z2"/>
      <c r="AA2"/>
      <c r="AB2"/>
      <c r="AC2"/>
      <c r="AJ2" s="182"/>
      <c r="AK2" s="182"/>
      <c r="AL2" s="182"/>
      <c r="AM2" s="182"/>
      <c r="AN2" s="182"/>
      <c r="AO2" s="183"/>
      <c r="AP2" s="182"/>
      <c r="AQ2" s="181"/>
      <c r="AR2" s="182"/>
      <c r="AS2" s="182"/>
      <c r="AT2" s="182"/>
      <c r="AZ2" s="183"/>
    </row>
    <row r="3" spans="1:58" ht="31.5" customHeight="1" thickBot="1">
      <c r="AC3" s="6"/>
      <c r="AD3" s="6"/>
      <c r="AE3" s="147"/>
      <c r="AF3" s="6"/>
      <c r="AG3" s="6"/>
      <c r="AI3" s="6"/>
      <c r="AJ3" s="147"/>
      <c r="AK3" s="147"/>
      <c r="AL3" s="147"/>
      <c r="AM3" s="147"/>
      <c r="AN3" s="6"/>
      <c r="AP3" s="6"/>
      <c r="AQ3" s="6"/>
      <c r="AR3" s="6"/>
      <c r="AS3" s="6"/>
    </row>
    <row r="4" spans="1:58" ht="29.25" customHeight="1" thickBot="1">
      <c r="A4" s="4"/>
      <c r="B4" s="414" t="s">
        <v>127</v>
      </c>
      <c r="C4" s="415"/>
      <c r="D4" s="6"/>
      <c r="G4" s="6"/>
      <c r="H4" s="383" t="s">
        <v>16</v>
      </c>
      <c r="I4" s="384"/>
      <c r="J4" s="385"/>
      <c r="K4" s="6"/>
      <c r="L4" s="6"/>
      <c r="M4" s="147"/>
      <c r="N4" s="6"/>
      <c r="O4" s="6"/>
      <c r="P4" s="6"/>
      <c r="Q4" s="383" t="s">
        <v>17</v>
      </c>
      <c r="R4" s="384"/>
      <c r="S4" s="385"/>
      <c r="T4" s="6"/>
      <c r="U4" s="6"/>
      <c r="V4" s="312"/>
      <c r="W4" s="6"/>
      <c r="X4" s="6"/>
      <c r="Y4" s="6"/>
      <c r="Z4" s="383" t="s">
        <v>18</v>
      </c>
      <c r="AA4" s="384"/>
      <c r="AB4" s="385"/>
      <c r="AC4" s="5"/>
      <c r="AD4" s="5"/>
      <c r="AE4" s="310"/>
      <c r="AF4" s="5"/>
      <c r="AG4" s="5"/>
      <c r="AI4" s="148" t="s">
        <v>8</v>
      </c>
      <c r="AJ4" s="148">
        <v>1</v>
      </c>
      <c r="AK4" s="149">
        <v>2</v>
      </c>
      <c r="AL4" s="149">
        <v>3</v>
      </c>
      <c r="AM4" s="150">
        <v>4</v>
      </c>
      <c r="AN4" s="156"/>
      <c r="AO4" s="400" t="s">
        <v>88</v>
      </c>
      <c r="AP4" s="5"/>
      <c r="AQ4" s="5"/>
      <c r="AR4" s="5"/>
      <c r="AS4" s="5"/>
      <c r="AT4" s="397" t="s">
        <v>12</v>
      </c>
      <c r="AU4" s="398"/>
      <c r="AV4" s="398"/>
      <c r="AW4" s="398"/>
      <c r="AX4" s="398"/>
      <c r="AY4" s="398"/>
      <c r="AZ4" s="399"/>
      <c r="BB4" s="380" t="s">
        <v>78</v>
      </c>
      <c r="BC4" s="381"/>
      <c r="BD4" s="381"/>
      <c r="BE4" s="381"/>
      <c r="BF4" s="382"/>
    </row>
    <row r="5" spans="1:58" ht="39.75" customHeight="1" thickBot="1">
      <c r="A5" s="4"/>
      <c r="B5" s="4"/>
      <c r="C5" s="4"/>
      <c r="D5" s="215" t="s">
        <v>3</v>
      </c>
      <c r="F5" s="207" t="s">
        <v>15</v>
      </c>
      <c r="G5" s="207"/>
      <c r="H5" s="207" t="s">
        <v>2</v>
      </c>
      <c r="I5" s="208" t="s">
        <v>0</v>
      </c>
      <c r="J5" s="208" t="s">
        <v>1</v>
      </c>
      <c r="K5" s="2" t="s">
        <v>10</v>
      </c>
      <c r="L5" s="2" t="s">
        <v>19</v>
      </c>
      <c r="M5" s="307" t="s">
        <v>128</v>
      </c>
      <c r="N5" s="2" t="s">
        <v>11</v>
      </c>
      <c r="O5" s="2" t="s">
        <v>14</v>
      </c>
      <c r="Q5" s="207" t="s">
        <v>2</v>
      </c>
      <c r="R5" s="208" t="s">
        <v>0</v>
      </c>
      <c r="S5" s="208" t="s">
        <v>1</v>
      </c>
      <c r="T5" s="2" t="s">
        <v>10</v>
      </c>
      <c r="U5" s="2" t="s">
        <v>19</v>
      </c>
      <c r="V5" s="167" t="s">
        <v>128</v>
      </c>
      <c r="W5" s="2" t="s">
        <v>11</v>
      </c>
      <c r="X5" s="2" t="s">
        <v>14</v>
      </c>
      <c r="Z5" s="207" t="s">
        <v>2</v>
      </c>
      <c r="AA5" s="208" t="s">
        <v>0</v>
      </c>
      <c r="AB5" s="208" t="s">
        <v>1</v>
      </c>
      <c r="AC5" s="2" t="s">
        <v>10</v>
      </c>
      <c r="AD5" s="2" t="s">
        <v>19</v>
      </c>
      <c r="AE5" s="307" t="s">
        <v>128</v>
      </c>
      <c r="AF5" s="2" t="s">
        <v>11</v>
      </c>
      <c r="AG5" s="2" t="s">
        <v>14</v>
      </c>
      <c r="AI5" s="214" t="s">
        <v>9</v>
      </c>
      <c r="AJ5" s="210" t="s">
        <v>10</v>
      </c>
      <c r="AK5" s="210" t="s">
        <v>11</v>
      </c>
      <c r="AL5" s="211" t="s">
        <v>19</v>
      </c>
      <c r="AM5" s="315" t="s">
        <v>20</v>
      </c>
      <c r="AN5" s="321"/>
      <c r="AO5" s="401"/>
      <c r="AP5" s="3"/>
      <c r="AQ5" s="3" t="s">
        <v>6</v>
      </c>
      <c r="AR5" s="3" t="s">
        <v>7</v>
      </c>
      <c r="AS5" s="3"/>
      <c r="AT5" s="25" t="s">
        <v>13</v>
      </c>
      <c r="AU5" s="26" t="s">
        <v>9</v>
      </c>
      <c r="AV5" s="27" t="s">
        <v>10</v>
      </c>
      <c r="AW5" s="26" t="s">
        <v>11</v>
      </c>
      <c r="AX5" s="12" t="s">
        <v>19</v>
      </c>
      <c r="AY5" s="28" t="s">
        <v>20</v>
      </c>
      <c r="AZ5" s="297" t="s">
        <v>89</v>
      </c>
      <c r="BA5" s="6"/>
      <c r="BB5" s="168"/>
      <c r="BC5" s="169" t="s">
        <v>76</v>
      </c>
      <c r="BD5" s="170" t="s">
        <v>79</v>
      </c>
      <c r="BE5" s="170" t="s">
        <v>80</v>
      </c>
      <c r="BF5" s="170" t="s">
        <v>81</v>
      </c>
    </row>
    <row r="6" spans="1:58" ht="27.95" customHeight="1">
      <c r="A6" s="217"/>
      <c r="B6" s="216" t="s">
        <v>4</v>
      </c>
      <c r="C6" s="216" t="s">
        <v>5</v>
      </c>
      <c r="D6" s="370" t="s">
        <v>21</v>
      </c>
      <c r="F6" s="388">
        <v>1</v>
      </c>
      <c r="G6" s="261">
        <v>1</v>
      </c>
      <c r="H6" s="386">
        <v>1</v>
      </c>
      <c r="I6" s="344" t="str">
        <f>IF(ISNA(MATCH(G6,$D$7:$D$30,0)),"",INDEX($B$7:$B$30,MATCH(G6,$D$7:$D$30,0)))</f>
        <v>PATOT THIERRY</v>
      </c>
      <c r="J6" s="263"/>
      <c r="K6" s="264">
        <f>IF($J$6&gt;$J$7,2,0)</f>
        <v>0</v>
      </c>
      <c r="L6" s="264">
        <f>+$J$6</f>
        <v>0</v>
      </c>
      <c r="M6" s="308">
        <f>+J7</f>
        <v>0</v>
      </c>
      <c r="N6" s="264">
        <f>$J$6-$J$7</f>
        <v>0</v>
      </c>
      <c r="O6" s="264">
        <f>$K$6/2</f>
        <v>0</v>
      </c>
      <c r="P6" s="169"/>
      <c r="Q6" s="386">
        <v>7</v>
      </c>
      <c r="R6" s="348" t="str">
        <f>+I10</f>
        <v>FONTANEL Julien</v>
      </c>
      <c r="S6" s="263"/>
      <c r="T6" s="264">
        <f>IF($S$6&gt;$S$7,2,0)</f>
        <v>0</v>
      </c>
      <c r="U6" s="264">
        <f>+$S$6</f>
        <v>0</v>
      </c>
      <c r="V6" s="146">
        <f>+S7</f>
        <v>0</v>
      </c>
      <c r="W6" s="264">
        <f>$S$6-$S$7</f>
        <v>0</v>
      </c>
      <c r="X6" s="264">
        <f>$T$6/2</f>
        <v>0</v>
      </c>
      <c r="Y6" s="178"/>
      <c r="Z6" s="386">
        <v>3</v>
      </c>
      <c r="AA6" s="350" t="str">
        <f>+R6</f>
        <v>FONTANEL Julien</v>
      </c>
      <c r="AB6" s="263"/>
      <c r="AC6" s="258">
        <f>IF($AB$6&gt;$AB$7,2,0)</f>
        <v>0</v>
      </c>
      <c r="AD6" s="258">
        <f>+$AB$6</f>
        <v>0</v>
      </c>
      <c r="AE6" s="308">
        <f>+AB7</f>
        <v>0</v>
      </c>
      <c r="AF6" s="258">
        <f>$AB$6-$AB$7</f>
        <v>0</v>
      </c>
      <c r="AG6" s="258">
        <f>$AC$6/2</f>
        <v>0</v>
      </c>
      <c r="AI6" s="334" t="str">
        <f>IF($J$6&lt;&gt;"",$I$6," ")</f>
        <v xml:space="preserve"> </v>
      </c>
      <c r="AJ6" s="212">
        <f>SUM(IFERROR(VLOOKUP(AI6,$I$6:$K$11,3,0),0),IFERROR(VLOOKUP(AI6,$R$6:$T$11,3,0),0),IFERROR(VLOOKUP(AI6,$AA$6:$AC$11,3,0),0))</f>
        <v>0</v>
      </c>
      <c r="AK6" s="296">
        <f>SUM(IFERROR(VLOOKUP(AI6,$I$6:$N$11,6,0),0),IFERROR(VLOOKUP(AI6,$R$6:$W$11,6,0),0),IFERROR(VLOOKUP(AI6,$AA$6:$AF$11,6,0),0))</f>
        <v>0</v>
      </c>
      <c r="AL6" s="212">
        <f>SUM(IFERROR(VLOOKUP(AI6,$I$6:$M$11,4,0),0),IFERROR(VLOOKUP(AI6,$R$6:$V$11,4,0),0),IFERROR(VLOOKUP(AI6,$AA$6:$AE$11,4,0),0))</f>
        <v>0</v>
      </c>
      <c r="AM6" s="314">
        <f>SUM(IFERROR(VLOOKUP(AI6,$I$6:$M$11,5,0),0),IFERROR(VLOOKUP(AI6,$R$6:$V$11,5,0),0),IFERROR(VLOOKUP(AI6,$AA$6:$AE$11,5,0),0))</f>
        <v>0</v>
      </c>
      <c r="AN6" s="320">
        <f>IF(AO6=2,2,IF(AO6=3,1,IF(AO6=1,3,0)))</f>
        <v>0</v>
      </c>
      <c r="AO6" s="324">
        <v>0</v>
      </c>
      <c r="AQ6" s="8">
        <f>IF(OR(AI6="",AJ6="",AK6="",AL6="",AO6=""),"",RANK(AJ6,$AJ$6:$AJ$11)+SUM(-$AK6/1000)-(+$AL6/10000)-(+AN6/1000)+COUNTIF(AI$6:AI$11,"&lt;="&amp;AI6+1)/10000000000+ROW()/100000000000)</f>
        <v>2.00000000006</v>
      </c>
      <c r="AR6" s="9">
        <f>IF(AI6="","",SMALL(AQ$6:AQ$11,ROWS(AJ$6:AJ6)))</f>
        <v>0.99270000010000004</v>
      </c>
      <c r="AS6" s="172"/>
      <c r="AT6" s="273">
        <f>IF(AR6="","",1)</f>
        <v>1</v>
      </c>
      <c r="AU6" s="359" t="str">
        <f>IF(OR(AI6="",AJ6=""),"",INDEX($AI$6:$AI$10,MATCH(AR6,$AQ$6:$AQ$10,0)))</f>
        <v>FONTANEL Julien</v>
      </c>
      <c r="AV6" s="274">
        <f>IF(OR(AI6="",AJ6=""),"",INDEX($AJ$6:$AJ$10,MATCH(AR6,$AQ$6:$AQ$10,0)))</f>
        <v>2</v>
      </c>
      <c r="AW6" s="274">
        <f>IF(OR(AI6="",AK6=""),"",INDEX($AK$6:$AK$10,MATCH(AR6,$AQ$6:$AQ$10,0)))</f>
        <v>6</v>
      </c>
      <c r="AX6" s="274">
        <f>IF(OR(AI6="",AL6=""),"",INDEX($AL$6:$AL$11,MATCH(AR6,$AQ$6:$AQ$11,0)))</f>
        <v>13</v>
      </c>
      <c r="AY6" s="299">
        <f>IF(OR(AI6="",AM6=""),"",INDEX($AM$6:$AM$11,MATCH(AR6,$AQ$6:$AQ$11,0)))</f>
        <v>7</v>
      </c>
      <c r="AZ6" s="303">
        <f>IF(OR(AI6="",AO6=""),"",INDEX($AO$6:$AO$10,MATCH(AR6,$AQ$6:$AQ$10,0)))</f>
        <v>0</v>
      </c>
      <c r="BA6" s="7"/>
      <c r="BB6" s="365" t="str">
        <f>I6</f>
        <v>PATOT THIERRY</v>
      </c>
      <c r="BC6" s="288">
        <f t="array" ref="BC6">SUM($BD$6:$BF$6)</f>
        <v>0</v>
      </c>
      <c r="BD6" s="247">
        <f t="array" ref="BD6">IF(OR($I$6:$I$7="OFFICE"),0,IF($J$6&gt;$J$7,1,0))</f>
        <v>0</v>
      </c>
      <c r="BE6" s="248">
        <f t="array" ref="BE6">IF(OR($R$8:$R$9="OFFICE"),0,IF($S$8&gt;$S$9,1,0))</f>
        <v>0</v>
      </c>
      <c r="BF6" s="249">
        <f t="array" ref="BF6">IF(OR($AA$10:$AA$11="OFFICE"),0,IF($AB$10&gt;$AB$11,1,0))</f>
        <v>0</v>
      </c>
    </row>
    <row r="7" spans="1:58" ht="27.95" customHeight="1" thickBot="1">
      <c r="A7" s="216">
        <v>1</v>
      </c>
      <c r="B7" s="374" t="s">
        <v>129</v>
      </c>
      <c r="C7" s="373" t="s">
        <v>152</v>
      </c>
      <c r="D7" s="371">
        <v>16</v>
      </c>
      <c r="F7" s="389"/>
      <c r="G7" s="262">
        <v>2</v>
      </c>
      <c r="H7" s="396"/>
      <c r="I7" s="345" t="str">
        <f>IF(ISNA(MATCH(G7,$D$7:$D$30,0)),"",INDEX($B$7:$B$30,MATCH(G7,$D$7:$D$30,0)))</f>
        <v>BLACHIER Yvan</v>
      </c>
      <c r="J7" s="265"/>
      <c r="K7" s="264">
        <f>IF($J$7&gt;$J$6,2,0)</f>
        <v>0</v>
      </c>
      <c r="L7" s="264">
        <f>+$J$7</f>
        <v>0</v>
      </c>
      <c r="M7" s="308">
        <f>+J6</f>
        <v>0</v>
      </c>
      <c r="N7" s="264">
        <f>$J$7-$J$6</f>
        <v>0</v>
      </c>
      <c r="O7" s="264">
        <f>$K$7/2</f>
        <v>0</v>
      </c>
      <c r="P7" s="169"/>
      <c r="Q7" s="396"/>
      <c r="R7" s="349" t="str">
        <f>+I7</f>
        <v>BLACHIER Yvan</v>
      </c>
      <c r="S7" s="265"/>
      <c r="T7" s="264">
        <f>IF($S$7&gt;$S$6,2,0)</f>
        <v>0</v>
      </c>
      <c r="U7" s="264">
        <f>+$S$7</f>
        <v>0</v>
      </c>
      <c r="V7" s="146">
        <f>+S6</f>
        <v>0</v>
      </c>
      <c r="W7" s="264">
        <f>$S$7-$S$6</f>
        <v>0</v>
      </c>
      <c r="X7" s="264">
        <f>$T$7/2</f>
        <v>0</v>
      </c>
      <c r="Y7" s="178"/>
      <c r="Z7" s="396"/>
      <c r="AA7" s="354" t="str">
        <f>+R10</f>
        <v>GUILLEN BERNARD</v>
      </c>
      <c r="AB7" s="265"/>
      <c r="AC7" s="258">
        <f>IF($AB$7&gt;$AB$6,2,0)</f>
        <v>0</v>
      </c>
      <c r="AD7" s="258">
        <f>+$AB$7</f>
        <v>0</v>
      </c>
      <c r="AE7" s="308">
        <f>+AB6</f>
        <v>0</v>
      </c>
      <c r="AF7" s="258">
        <f>$AB$7-$AB$6</f>
        <v>0</v>
      </c>
      <c r="AG7" s="258">
        <f>$AC$7/2</f>
        <v>0</v>
      </c>
      <c r="AI7" s="335" t="str">
        <f>IF($J$7&lt;&gt;"",$I$7," ")</f>
        <v xml:space="preserve"> </v>
      </c>
      <c r="AJ7" s="213">
        <f t="shared" ref="AJ7:AJ10" si="0">SUM(IFERROR(VLOOKUP(AI7,$I$6:$K$11,3,0),0),IFERROR(VLOOKUP(AI7,$R$6:$T$11,3,0),0),IFERROR(VLOOKUP(AI7,$AA$6:$AC$11,3,0),0))</f>
        <v>0</v>
      </c>
      <c r="AK7" s="209">
        <f t="shared" ref="AK7:AK10" si="1">SUM(IFERROR(VLOOKUP(AI7,$I$6:$N$11,6,0),0),IFERROR(VLOOKUP(AI7,$R$6:$W$11,6,0),0),IFERROR(VLOOKUP(AI7,$AA$6:$AF$11,6,0),0))</f>
        <v>0</v>
      </c>
      <c r="AL7" s="213">
        <f t="shared" ref="AL7:AL10" si="2">SUM(IFERROR(VLOOKUP(AI7,$I$6:$M$11,4,0),0),IFERROR(VLOOKUP(AI7,$R$6:$V$11,4,0),0),IFERROR(VLOOKUP(AI7,$AA$6:$AE$11,4,0),0))</f>
        <v>0</v>
      </c>
      <c r="AM7" s="313">
        <f t="shared" ref="AM7:AM10" si="3">SUM(IFERROR(VLOOKUP(AI7,$I$6:$M$11,5,0),0),IFERROR(VLOOKUP(AI7,$R$6:$V$11,5,0),0),IFERROR(VLOOKUP(AI7,$AA$6:$AE$11,5,0),0))</f>
        <v>0</v>
      </c>
      <c r="AN7" s="209">
        <f t="shared" ref="AN7:AN28" si="4">IF(AO7=2,2,IF(AO7=3,1,IF(AO7=1,3,0)))</f>
        <v>0</v>
      </c>
      <c r="AO7" s="325">
        <v>0</v>
      </c>
      <c r="AQ7" s="8">
        <f t="shared" ref="AQ7:AQ10" si="5">IF(OR(AI7="",AJ7="",AK7="",AL7="",AO7=""),"",RANK(AJ7,$AJ$6:$AJ$11)+SUM(-$AK7/1000)-(+$AL7/10000)-(+AN7/1000)+COUNTIF(AI$6:AI$11,"&lt;="&amp;AI7+1)/10000000000+ROW()/100000000000)</f>
        <v>2.00000000007</v>
      </c>
      <c r="AR7" s="9">
        <f>IF(AI7="","",SMALL(AQ$6:AQ$11,ROWS(AJ$6:AJ7)))</f>
        <v>2.00000000006</v>
      </c>
      <c r="AS7" s="172"/>
      <c r="AT7" s="275">
        <f>IF(AR7="","",IF(AND(AV6=AV7,AX6=AX7,AY6=AY7,AW7=AW6,AZ6=AZ7),AT6,$AT$6+1))</f>
        <v>2</v>
      </c>
      <c r="AU7" s="360" t="str">
        <f>IF(OR(AI7="",AJ7=""),"",INDEX($AI$6:$AI$10,MATCH(AR7,$AQ$6:$AQ$10,0)))</f>
        <v xml:space="preserve"> </v>
      </c>
      <c r="AV7" s="276">
        <f>IF(OR(AI7="",AJ7=""),"",INDEX($AJ$6:$AJ$10,MATCH(AR7,$AQ$6:$AQ$10,0)))</f>
        <v>0</v>
      </c>
      <c r="AW7" s="276">
        <f t="shared" ref="AW7:AW10" si="6">IF(OR(AI7="",AK7=""),"",INDEX($AK$6:$AK$10,MATCH(AR7,$AQ$6:$AQ$10,0)))</f>
        <v>0</v>
      </c>
      <c r="AX7" s="276">
        <f>IF(OR(AI7="",AL7=""),"",INDEX($AL$6:$AL$11,MATCH(AR7,$AQ$6:$AQ$11,0)))</f>
        <v>0</v>
      </c>
      <c r="AY7" s="300">
        <f>IF(OR(AI7="",AM7=""),"",INDEX($AM$6:$AM$11,MATCH(AR7,$AQ$6:$AQ$11,0)))</f>
        <v>0</v>
      </c>
      <c r="AZ7" s="304">
        <f>IF(OR(AI7="",AO7=""),"",INDEX($AO$6:$AO$10,MATCH(AR7,$AQ$6:$AQ$10,0)))</f>
        <v>0</v>
      </c>
      <c r="BA7" s="7"/>
      <c r="BB7" s="366" t="str">
        <f>+I7</f>
        <v>BLACHIER Yvan</v>
      </c>
      <c r="BC7" s="289">
        <f t="array" ref="BC7">SUM($BD$7:$BF$7)</f>
        <v>0</v>
      </c>
      <c r="BD7" s="250">
        <f t="array" ref="BD7">IF(OR($I$6:$I$7="OFFICE"),0,IF($J$7&gt;$J$6,1,0))</f>
        <v>0</v>
      </c>
      <c r="BE7" s="165">
        <f t="array" ref="BE7">IF(OR($R$6:$R$7="OFFICE"),0,IF($S$6&lt;$S$7,1,0))</f>
        <v>0</v>
      </c>
      <c r="BF7" s="251">
        <f t="array" ref="BF7">IF(OR($AA$8:$AA$9="OFFICE"),0,IF($AB$8&gt;$AB$9,1,0))</f>
        <v>0</v>
      </c>
    </row>
    <row r="8" spans="1:58" ht="27.95" customHeight="1">
      <c r="A8" s="216">
        <v>2</v>
      </c>
      <c r="B8" s="373" t="s">
        <v>130</v>
      </c>
      <c r="C8" s="373" t="s">
        <v>148</v>
      </c>
      <c r="D8" s="371">
        <v>13</v>
      </c>
      <c r="F8" s="389"/>
      <c r="G8" s="262">
        <v>3</v>
      </c>
      <c r="H8" s="386">
        <v>2</v>
      </c>
      <c r="I8" s="344" t="str">
        <f>IF(ISNA(MATCH(G8,$D$7:$D$30,0)),"",INDEX($B$7:$B$30,MATCH(G8,$D$7:$D$30,0)))</f>
        <v>GUILLEN BERNARD</v>
      </c>
      <c r="J8" s="263"/>
      <c r="K8" s="264">
        <f>IF($J$8&gt;$J$9,2,0)</f>
        <v>0</v>
      </c>
      <c r="L8" s="264">
        <f>+$J$8</f>
        <v>0</v>
      </c>
      <c r="M8" s="308">
        <f>+J9</f>
        <v>0</v>
      </c>
      <c r="N8" s="264">
        <f>$J$8-$J$9</f>
        <v>0</v>
      </c>
      <c r="O8" s="264">
        <f>$K$8/2</f>
        <v>0</v>
      </c>
      <c r="P8" s="169"/>
      <c r="Q8" s="386">
        <v>8</v>
      </c>
      <c r="R8" s="350" t="str">
        <f>I6</f>
        <v>PATOT THIERRY</v>
      </c>
      <c r="S8" s="263"/>
      <c r="T8" s="264">
        <f>IF($S$8&gt;$S$9,2,0)</f>
        <v>0</v>
      </c>
      <c r="U8" s="264">
        <f>+$S$8</f>
        <v>0</v>
      </c>
      <c r="V8" s="146">
        <f>+S9</f>
        <v>0</v>
      </c>
      <c r="W8" s="264">
        <f>$S$8-$S$9</f>
        <v>0</v>
      </c>
      <c r="X8" s="264">
        <f>$T$8/2</f>
        <v>0</v>
      </c>
      <c r="Y8" s="178"/>
      <c r="Z8" s="386">
        <v>4</v>
      </c>
      <c r="AA8" s="350" t="str">
        <f>+R7</f>
        <v>BLACHIER Yvan</v>
      </c>
      <c r="AB8" s="263"/>
      <c r="AC8" s="258">
        <f>IF($AB$8&gt;$AB$9,2,0)</f>
        <v>0</v>
      </c>
      <c r="AD8" s="258">
        <f>+$AB$8</f>
        <v>0</v>
      </c>
      <c r="AE8" s="308">
        <f>+AB9</f>
        <v>0</v>
      </c>
      <c r="AF8" s="258">
        <f>$AB$8-$AB$9</f>
        <v>0</v>
      </c>
      <c r="AG8" s="258">
        <f>$AC$8/2</f>
        <v>0</v>
      </c>
      <c r="AI8" s="335" t="str">
        <f>IF($J$8&lt;&gt;"",$I$8," ")</f>
        <v xml:space="preserve"> </v>
      </c>
      <c r="AJ8" s="213">
        <f t="shared" si="0"/>
        <v>0</v>
      </c>
      <c r="AK8" s="209">
        <f t="shared" si="1"/>
        <v>0</v>
      </c>
      <c r="AL8" s="213">
        <f t="shared" si="2"/>
        <v>0</v>
      </c>
      <c r="AM8" s="313">
        <f t="shared" si="3"/>
        <v>0</v>
      </c>
      <c r="AN8" s="209">
        <f t="shared" si="4"/>
        <v>0</v>
      </c>
      <c r="AO8" s="325">
        <v>0</v>
      </c>
      <c r="AQ8" s="8">
        <f t="shared" si="5"/>
        <v>2.00000000008</v>
      </c>
      <c r="AR8" s="9">
        <f>IF(AI8="","",SMALL(AQ$6:AQ$11,ROWS(AJ$6:AJ8)))</f>
        <v>2.00000000007</v>
      </c>
      <c r="AS8" s="172"/>
      <c r="AT8" s="275">
        <f>IF(AR8="","",IF(AND(AV7=AV8,AX7=AX8,AY7=AY8,AW8=AW7,AZ7=AZ8),AT7,$AT$6+2))</f>
        <v>2</v>
      </c>
      <c r="AU8" s="360" t="str">
        <f>IF(OR(AI8="",AJ8=""),"",INDEX($AI$6:$AI$10,MATCH(AR8,$AQ$6:$AQ$10,0)))</f>
        <v xml:space="preserve"> </v>
      </c>
      <c r="AV8" s="276">
        <f>IF(OR(AI8="",AJ8=""),"",INDEX($AJ$6:$AJ$10,MATCH(AR8,$AQ$6:$AQ$10,0)))</f>
        <v>0</v>
      </c>
      <c r="AW8" s="276">
        <f t="shared" si="6"/>
        <v>0</v>
      </c>
      <c r="AX8" s="276">
        <f>IF(OR(AI8="",AL8=""),"",INDEX($AL$6:$AL$11,MATCH(AR8,$AQ$6:$AQ$11,0)))</f>
        <v>0</v>
      </c>
      <c r="AY8" s="300">
        <f>IF(OR(AI8="",AM8=""),"",INDEX($AM$6:$AM$11,MATCH(AR8,$AQ$6:$AQ$11,0)))</f>
        <v>0</v>
      </c>
      <c r="AZ8" s="304">
        <f>IF(OR(AI8="",AO8=""),"",INDEX($AO$6:$AO$10,MATCH(AR8,$AQ$6:$AQ$10,0)))</f>
        <v>0</v>
      </c>
      <c r="BA8" s="172"/>
      <c r="BB8" s="366" t="str">
        <f>+I8</f>
        <v>GUILLEN BERNARD</v>
      </c>
      <c r="BC8" s="289">
        <f t="array" ref="BC8">SUM($BD$8:$BF$8)</f>
        <v>0</v>
      </c>
      <c r="BD8" s="250">
        <f t="array" ref="BD8">IF(OR($I$8:$I$9="OFFICE"),0,IF($J$8&gt;$J$9,1,0))</f>
        <v>0</v>
      </c>
      <c r="BE8" s="165">
        <f t="array" ref="BE8">IF(OR($R$10:$R$11="OFFICE"),0,IF($S$10&gt;$S$11,1,0))</f>
        <v>0</v>
      </c>
      <c r="BF8" s="251">
        <f t="array" ref="BF8">IF(OR($AA$6:$AA$7="OFFICE"),0,IF($AB$7&gt;$AB$6,1,0))</f>
        <v>0</v>
      </c>
    </row>
    <row r="9" spans="1:58" ht="27.95" customHeight="1" thickBot="1">
      <c r="A9" s="216">
        <v>3</v>
      </c>
      <c r="B9" s="375" t="s">
        <v>131</v>
      </c>
      <c r="C9" s="373" t="s">
        <v>149</v>
      </c>
      <c r="D9" s="371">
        <v>14</v>
      </c>
      <c r="F9" s="389"/>
      <c r="G9" s="262">
        <v>4</v>
      </c>
      <c r="H9" s="396"/>
      <c r="I9" s="345" t="str">
        <f>IF(ISNA(MATCH(G9,$D$7:$D$30,0)),"",INDEX($B$7:$B$30,MATCH(G9,$D$7:$D$30,0)))</f>
        <v>VERSINO Fabien</v>
      </c>
      <c r="J9" s="266"/>
      <c r="K9" s="264">
        <f>IF($J$9&gt;$J$8,2,0)</f>
        <v>0</v>
      </c>
      <c r="L9" s="264">
        <f>+$J$9</f>
        <v>0</v>
      </c>
      <c r="M9" s="308">
        <f>+J8</f>
        <v>0</v>
      </c>
      <c r="N9" s="264">
        <f>$J$9-$J$8</f>
        <v>0</v>
      </c>
      <c r="O9" s="264">
        <f>$K$9/2</f>
        <v>0</v>
      </c>
      <c r="P9" s="169"/>
      <c r="Q9" s="387"/>
      <c r="R9" s="351" t="str">
        <f>+I9</f>
        <v>VERSINO Fabien</v>
      </c>
      <c r="S9" s="266"/>
      <c r="T9" s="264">
        <f>IF($S$9&gt;$S$8,2,0)</f>
        <v>0</v>
      </c>
      <c r="U9" s="264">
        <f>+$S$9</f>
        <v>0</v>
      </c>
      <c r="V9" s="146">
        <f>+S8</f>
        <v>0</v>
      </c>
      <c r="W9" s="264">
        <f>$S$9-$S$8</f>
        <v>0</v>
      </c>
      <c r="X9" s="264">
        <f>$T$9/2</f>
        <v>0</v>
      </c>
      <c r="Y9" s="178"/>
      <c r="Z9" s="387"/>
      <c r="AA9" s="355" t="str">
        <f>+R9</f>
        <v>VERSINO Fabien</v>
      </c>
      <c r="AB9" s="265"/>
      <c r="AC9" s="258">
        <f>IF($AB$9&gt;$AB$8,2,0)</f>
        <v>0</v>
      </c>
      <c r="AD9" s="258">
        <f>+$AB$9</f>
        <v>0</v>
      </c>
      <c r="AE9" s="308">
        <f>+AB8</f>
        <v>0</v>
      </c>
      <c r="AF9" s="258">
        <f>$AB$9-$AB$8</f>
        <v>0</v>
      </c>
      <c r="AG9" s="258">
        <f>$AC$9/2</f>
        <v>0</v>
      </c>
      <c r="AI9" s="335" t="str">
        <f>IF($J$9&lt;&gt;"",$I$9," ")</f>
        <v xml:space="preserve"> </v>
      </c>
      <c r="AJ9" s="213">
        <f t="shared" si="0"/>
        <v>0</v>
      </c>
      <c r="AK9" s="209">
        <f t="shared" si="1"/>
        <v>0</v>
      </c>
      <c r="AL9" s="213">
        <f t="shared" si="2"/>
        <v>0</v>
      </c>
      <c r="AM9" s="313">
        <f t="shared" si="3"/>
        <v>0</v>
      </c>
      <c r="AN9" s="209">
        <f t="shared" si="4"/>
        <v>0</v>
      </c>
      <c r="AO9" s="325">
        <v>0</v>
      </c>
      <c r="AQ9" s="8">
        <f t="shared" si="5"/>
        <v>2.00000000009</v>
      </c>
      <c r="AR9" s="9">
        <f>IF(AI9="","",SMALL(AQ$6:AQ$11,ROWS(AJ$6:AJ9)))</f>
        <v>2.00000000008</v>
      </c>
      <c r="AS9" s="172"/>
      <c r="AT9" s="275">
        <f>IF(AR9="","",IF(AND(AV8=AV9,AX8=AX9,AY8=AY9,AW9=AW8,AZ8=AZ9),AT8,$AT$6+3))</f>
        <v>2</v>
      </c>
      <c r="AU9" s="361" t="str">
        <f>IF(OR(AI9="",AJ9=""),"",INDEX($AI$6:$AI$10,MATCH(AR9,$AQ$6:$AQ$10,0)))</f>
        <v xml:space="preserve"> </v>
      </c>
      <c r="AV9" s="277">
        <f>IF(OR(AI9="",AJ9=""),"",INDEX($AJ$6:$AJ$10,MATCH(AR9,$AQ$6:$AQ$10,0)))</f>
        <v>0</v>
      </c>
      <c r="AW9" s="277">
        <f t="shared" si="6"/>
        <v>0</v>
      </c>
      <c r="AX9" s="277">
        <f>IF(OR(AI9="",AL9=""),"",INDEX($AL$6:$AL$11,MATCH(AR9,$AQ$6:$AQ$11,0)))</f>
        <v>0</v>
      </c>
      <c r="AY9" s="301">
        <f>IF(OR(AI9="",AM9=""),"",INDEX($AM$6:$AM$11,MATCH(AR9,$AQ$6:$AQ$11,0)))</f>
        <v>0</v>
      </c>
      <c r="AZ9" s="305">
        <f>IF(OR(AI9="",AO9=""),"",INDEX($AO$6:$AO$10,MATCH(AR9,$AQ$6:$AQ$10,0)))</f>
        <v>0</v>
      </c>
      <c r="BA9" s="172"/>
      <c r="BB9" s="367" t="str">
        <f>+I9</f>
        <v>VERSINO Fabien</v>
      </c>
      <c r="BC9" s="290">
        <f t="array" ref="BC9">SUM($BD$9:$BF$9)</f>
        <v>0</v>
      </c>
      <c r="BD9" s="250">
        <f t="array" ref="BD9">IF(OR($I$8:$I$9="OFFICE"),0,IF($J$8&lt;$J$9,1,0))</f>
        <v>0</v>
      </c>
      <c r="BE9" s="252">
        <f t="array" ref="BE9">IF(OR($R$8:$R$9="OFFICE"),0,IF($S$8&lt;$S$9,1,0))</f>
        <v>0</v>
      </c>
      <c r="BF9" s="253">
        <f t="array" ref="BF9">IF(OR($AA$8:$AA$9="OFFICE"),0,IF($AB$8&lt;$AB$9,1,0))</f>
        <v>0</v>
      </c>
    </row>
    <row r="10" spans="1:58" ht="27.95" customHeight="1" thickBot="1">
      <c r="A10" s="216">
        <v>4</v>
      </c>
      <c r="B10" s="375" t="s">
        <v>132</v>
      </c>
      <c r="C10" s="373" t="s">
        <v>149</v>
      </c>
      <c r="D10" s="371">
        <v>7</v>
      </c>
      <c r="F10" s="389"/>
      <c r="G10" s="391">
        <v>5</v>
      </c>
      <c r="H10" s="393"/>
      <c r="I10" s="346" t="str">
        <f>IF(ISNA(MATCH(G10,$D$7:$D$30,0)),"",INDEX($B$7:$B$30,MATCH(G10,$D$7:$D$30,0)))</f>
        <v>FONTANEL Julien</v>
      </c>
      <c r="J10" s="263">
        <v>13</v>
      </c>
      <c r="K10" s="264">
        <f>IF($J$10&gt;$J$11,2,0)</f>
        <v>2</v>
      </c>
      <c r="L10" s="264">
        <f>+$J$10</f>
        <v>13</v>
      </c>
      <c r="M10" s="308">
        <f>+J11</f>
        <v>7</v>
      </c>
      <c r="N10" s="264">
        <f>$J$10-$J$11</f>
        <v>6</v>
      </c>
      <c r="O10" s="264">
        <v>0</v>
      </c>
      <c r="P10" s="169"/>
      <c r="Q10" s="395"/>
      <c r="R10" s="352" t="str">
        <f>+I8</f>
        <v>GUILLEN BERNARD</v>
      </c>
      <c r="S10" s="263">
        <v>13</v>
      </c>
      <c r="T10" s="264">
        <f>IF($S$10&gt;$S$11,2,0)</f>
        <v>2</v>
      </c>
      <c r="U10" s="264">
        <f>+$S$10</f>
        <v>13</v>
      </c>
      <c r="V10" s="146">
        <f>+S11</f>
        <v>7</v>
      </c>
      <c r="W10" s="264">
        <f>$S$10-$S$11</f>
        <v>6</v>
      </c>
      <c r="X10" s="264">
        <v>0</v>
      </c>
      <c r="Y10" s="178"/>
      <c r="Z10" s="395"/>
      <c r="AA10" s="356" t="str">
        <f>+R8</f>
        <v>PATOT THIERRY</v>
      </c>
      <c r="AB10" s="263">
        <v>13</v>
      </c>
      <c r="AC10" s="258">
        <f>IF($AB$10&gt;$AB$11,2,0)</f>
        <v>2</v>
      </c>
      <c r="AD10" s="258">
        <f>+$AB$10</f>
        <v>13</v>
      </c>
      <c r="AE10" s="308">
        <f>+AB11</f>
        <v>7</v>
      </c>
      <c r="AF10" s="258">
        <f>$AB$10-$AB$11</f>
        <v>6</v>
      </c>
      <c r="AG10" s="173">
        <v>0</v>
      </c>
      <c r="AI10" s="336" t="str">
        <f>IF($J$10&lt;&gt;"",$I$10," ")</f>
        <v>FONTANEL Julien</v>
      </c>
      <c r="AJ10" s="316">
        <f t="shared" si="0"/>
        <v>2</v>
      </c>
      <c r="AK10" s="317">
        <f t="shared" si="1"/>
        <v>6</v>
      </c>
      <c r="AL10" s="316">
        <f t="shared" si="2"/>
        <v>13</v>
      </c>
      <c r="AM10" s="318">
        <f t="shared" si="3"/>
        <v>7</v>
      </c>
      <c r="AN10" s="317">
        <f t="shared" si="4"/>
        <v>0</v>
      </c>
      <c r="AO10" s="326">
        <v>0</v>
      </c>
      <c r="AQ10" s="8">
        <f t="shared" si="5"/>
        <v>0.99270000010000004</v>
      </c>
      <c r="AR10" s="9">
        <f>IF(AI10="","",SMALL(AQ$6:AQ$11,ROWS(AJ$6:AJ10)))</f>
        <v>2.00000000009</v>
      </c>
      <c r="AS10" s="172"/>
      <c r="AT10" s="285">
        <f>IF(AR10="","",IF(AND(AV9=AV10,AX9=AX10,AY9=AY10,AW10=AW9,AZ9=AZ10),AT9,$AT$6+4))</f>
        <v>2</v>
      </c>
      <c r="AU10" s="362" t="str">
        <f>IF(OR(AI10="",AJ10=""),"",INDEX($AI$6:$AI$10,MATCH(AR10,$AQ$6:$AQ$10,0)))</f>
        <v xml:space="preserve"> </v>
      </c>
      <c r="AV10" s="278">
        <f>IF(OR(AI10="",AJ10=""),"",INDEX($AJ$6:$AJ$10,MATCH(AR10,$AQ$6:$AQ$10,0)))</f>
        <v>0</v>
      </c>
      <c r="AW10" s="278">
        <f t="shared" si="6"/>
        <v>0</v>
      </c>
      <c r="AX10" s="278">
        <f>IF(OR(AI10="",AL10=""),"",INDEX($AL$6:$AL$11,MATCH(AR10,$AQ$6:$AQ$11,0)))</f>
        <v>0</v>
      </c>
      <c r="AY10" s="302">
        <f>IF(OR(AI10="",AM10=""),"",INDEX($AM$6:$AM$11,MATCH(AR10,$AQ$6:$AQ$11,0)))</f>
        <v>0</v>
      </c>
      <c r="AZ10" s="306">
        <f>IF(OR(AI10="",AO10=""),"",INDEX($AO$6:$AO$10,MATCH(AR10,$AQ$6:$AQ$10,0)))</f>
        <v>0</v>
      </c>
      <c r="BA10" s="172"/>
      <c r="BB10" s="368" t="str">
        <f>+I10</f>
        <v>FONTANEL Julien</v>
      </c>
      <c r="BC10" s="291">
        <f t="array" ref="BC10">SUM($BD$10:$BF$10)</f>
        <v>0</v>
      </c>
      <c r="BD10" s="254">
        <f t="array" ref="BD10">IF(OR($I$10:$I$11="OFFICE"),0,IF($J$10&gt;$J$11,1,0))</f>
        <v>0</v>
      </c>
      <c r="BE10" s="255">
        <f t="array" ref="BE10">IF(OR($R$6:$R$7="OFFICE"),0,IF($S$6&gt;$S$7,1,0))</f>
        <v>0</v>
      </c>
      <c r="BF10" s="256">
        <f t="array" ref="BF10">IF(OR($AA$6:$AA$7="OFFICE"),0,IF($AB$6&gt;$AB$7,1,0))</f>
        <v>0</v>
      </c>
    </row>
    <row r="11" spans="1:58" ht="27.95" customHeight="1" thickBot="1">
      <c r="A11" s="216">
        <v>5</v>
      </c>
      <c r="B11" s="372" t="s">
        <v>133</v>
      </c>
      <c r="C11" s="372" t="s">
        <v>150</v>
      </c>
      <c r="D11" s="371">
        <v>3</v>
      </c>
      <c r="F11" s="390"/>
      <c r="G11" s="392"/>
      <c r="H11" s="394"/>
      <c r="I11" s="347" t="s">
        <v>84</v>
      </c>
      <c r="J11" s="265">
        <v>7</v>
      </c>
      <c r="K11" s="267">
        <f>IF($J$11&gt;$J$10,2,0)</f>
        <v>0</v>
      </c>
      <c r="L11" s="268">
        <f>+$J$11</f>
        <v>7</v>
      </c>
      <c r="M11" s="308">
        <f>+J10</f>
        <v>13</v>
      </c>
      <c r="N11" s="268">
        <f>$J$11-$J$10</f>
        <v>-6</v>
      </c>
      <c r="O11" s="268"/>
      <c r="P11" s="269"/>
      <c r="Q11" s="394"/>
      <c r="R11" s="272" t="s">
        <v>84</v>
      </c>
      <c r="S11" s="265">
        <v>7</v>
      </c>
      <c r="T11" s="267">
        <v>0</v>
      </c>
      <c r="U11" s="268">
        <f>+$S$11</f>
        <v>7</v>
      </c>
      <c r="V11" s="146">
        <f>+S10</f>
        <v>13</v>
      </c>
      <c r="W11" s="268">
        <f>$S$11-$S$10</f>
        <v>-6</v>
      </c>
      <c r="X11" s="268"/>
      <c r="Y11" s="269"/>
      <c r="Z11" s="394"/>
      <c r="AA11" s="357" t="s">
        <v>84</v>
      </c>
      <c r="AB11" s="265">
        <v>7</v>
      </c>
      <c r="AC11" s="259">
        <v>0</v>
      </c>
      <c r="AD11" s="260">
        <f>+$AB$11</f>
        <v>7</v>
      </c>
      <c r="AE11" s="308">
        <f>+AB10</f>
        <v>13</v>
      </c>
      <c r="AF11" s="260">
        <f>$AB$11-$AB$10</f>
        <v>-6</v>
      </c>
      <c r="AG11" s="174"/>
      <c r="AI11" s="328" t="str">
        <f>IF($J$10&lt;&gt;"",$I$11," ")</f>
        <v>OFFICE</v>
      </c>
      <c r="AJ11" s="329">
        <f t="shared" ref="AJ11" si="7">SUM(IFERROR(VLOOKUP(AI11,$I$6:$K$11,3,0),0),IFERROR(VLOOKUP(AI11,$R$6:$T$11,3,0),0),IFERROR(VLOOKUP(AI11,$AA$6:$AC$11,3,0),0))</f>
        <v>0</v>
      </c>
      <c r="AK11" s="330">
        <f t="shared" ref="AK11" si="8">SUM(IFERROR(VLOOKUP(AI11,$I$6:$N$11,6,0),0),IFERROR(VLOOKUP(AI11,$R$6:$W$11,6,0),0),IFERROR(VLOOKUP(AI11,$AA$6:$AF$11,6,0),0))</f>
        <v>-18</v>
      </c>
      <c r="AL11" s="331">
        <f t="shared" ref="AL11" si="9">SUM(IFERROR(VLOOKUP(AI11,$I$6:$M$11,4,0),0),IFERROR(VLOOKUP(AI11,$R$6:$V$11,4,0),0),IFERROR(VLOOKUP(AI11,$AA$6:$AE$11,4,0),0))</f>
        <v>21</v>
      </c>
      <c r="AM11" s="332">
        <f t="shared" ref="AM11" si="10">SUM(IFERROR(VLOOKUP(AI11,$I$6:$M$11,5,0),0),IFERROR(VLOOKUP(AI11,$R$6:$V$11,5,0),0),IFERROR(VLOOKUP(AI11,$AA$6:$AE$11,5,0),0))</f>
        <v>39</v>
      </c>
      <c r="AN11" s="330">
        <f t="shared" si="4"/>
        <v>0</v>
      </c>
      <c r="AO11" s="333"/>
      <c r="AP11" s="31"/>
      <c r="AQ11" s="8"/>
      <c r="AR11" s="175"/>
      <c r="AS11" s="175"/>
      <c r="AT11" s="279"/>
      <c r="AU11" s="363"/>
      <c r="AV11" s="280"/>
      <c r="AW11" s="295">
        <f>SUM(AW6:AW10)</f>
        <v>6</v>
      </c>
      <c r="AX11" s="280"/>
      <c r="AY11" s="280"/>
      <c r="AZ11" s="281"/>
      <c r="BA11" s="172"/>
      <c r="BB11" s="369"/>
      <c r="BC11" s="257">
        <f>SUM($BC$6:$BC$10)</f>
        <v>0</v>
      </c>
      <c r="BD11" s="257">
        <f>SUM($BD$6:$BD$10)</f>
        <v>0</v>
      </c>
      <c r="BE11" s="257">
        <f>SUM($BE$6:$BE$10)</f>
        <v>0</v>
      </c>
      <c r="BF11" s="257">
        <f>SUM($BF$6:$BF$10)</f>
        <v>0</v>
      </c>
    </row>
    <row r="12" spans="1:58" s="6" customFormat="1" ht="27.95" customHeight="1">
      <c r="A12" s="216">
        <v>6</v>
      </c>
      <c r="B12" s="377" t="s">
        <v>134</v>
      </c>
      <c r="C12" s="372" t="s">
        <v>161</v>
      </c>
      <c r="D12" s="371">
        <v>19</v>
      </c>
      <c r="F12" s="388">
        <v>2</v>
      </c>
      <c r="G12" s="261">
        <v>6</v>
      </c>
      <c r="H12" s="386">
        <v>3</v>
      </c>
      <c r="I12" s="344" t="str">
        <f>IF(ISNA(MATCH(G12,$D$7:$D$30,0)),"",INDEX($B$7:$B$30,MATCH(G12,$D$7:$D$30,0)))</f>
        <v xml:space="preserve">RISSOAN Grégory </v>
      </c>
      <c r="J12" s="263"/>
      <c r="K12" s="264">
        <f>IF($J$12&gt;$J$13,2,0)</f>
        <v>0</v>
      </c>
      <c r="L12" s="264">
        <f>+$J$12</f>
        <v>0</v>
      </c>
      <c r="M12" s="308">
        <f>+J13</f>
        <v>0</v>
      </c>
      <c r="N12" s="264">
        <f>$J$12-$J$13</f>
        <v>0</v>
      </c>
      <c r="O12" s="264">
        <f>$K$12/2</f>
        <v>0</v>
      </c>
      <c r="P12" s="169"/>
      <c r="Q12" s="386">
        <v>1</v>
      </c>
      <c r="R12" s="348" t="str">
        <f>+I16</f>
        <v>GRAND Emmanuel</v>
      </c>
      <c r="S12" s="263"/>
      <c r="T12" s="264">
        <f>IF($S$12&gt;$S$13,2,0)</f>
        <v>0</v>
      </c>
      <c r="U12" s="264">
        <f>+$S$12</f>
        <v>0</v>
      </c>
      <c r="V12" s="146">
        <f>+S13</f>
        <v>0</v>
      </c>
      <c r="W12" s="264">
        <f>$S$12-$S$13</f>
        <v>0</v>
      </c>
      <c r="X12" s="264">
        <f>$T$12/2</f>
        <v>0</v>
      </c>
      <c r="Y12" s="178"/>
      <c r="Z12" s="386">
        <v>5</v>
      </c>
      <c r="AA12" s="350" t="str">
        <f>+R12</f>
        <v>GRAND Emmanuel</v>
      </c>
      <c r="AB12" s="263"/>
      <c r="AC12" s="258">
        <f>IF($AB$12&gt;$AB$13,2,0)</f>
        <v>0</v>
      </c>
      <c r="AD12" s="258">
        <f>+$AB$12</f>
        <v>0</v>
      </c>
      <c r="AE12" s="308">
        <f>+AB13</f>
        <v>0</v>
      </c>
      <c r="AF12" s="258">
        <f>$AB$12-$AB$13</f>
        <v>0</v>
      </c>
      <c r="AG12" s="258">
        <f>$AC$12/2</f>
        <v>0</v>
      </c>
      <c r="AH12"/>
      <c r="AI12" s="337" t="str">
        <f>IF($J$12&lt;&gt;"",$I$12," ")</f>
        <v xml:space="preserve"> </v>
      </c>
      <c r="AJ12" s="319">
        <f>SUM(IFERROR(VLOOKUP(AI12,$I$12:$K$17,3,0),0),IFERROR(VLOOKUP(AI12,$R$12:$T$17,3,0),0),IFERROR(VLOOKUP(AI12,$AA$12:$AC$17,3,0),0))</f>
        <v>0</v>
      </c>
      <c r="AK12" s="320">
        <f>SUM(IFERROR(VLOOKUP(AI12,$I$12:$N$17,6,0),0),IFERROR(VLOOKUP(AI12,$R$12:$W$17,6,0),0),IFERROR(VLOOKUP(AI12,$AA$12:$AF$17,6,0),0))</f>
        <v>0</v>
      </c>
      <c r="AL12" s="319">
        <f>SUM(IFERROR(VLOOKUP(AI12,$I$12:$M$17,4,0),0),IFERROR(VLOOKUP(AI12,$R$12:$V$17,4,0),0),IFERROR(VLOOKUP(AI12,$AA$12:$AE$17,4,0),0))</f>
        <v>0</v>
      </c>
      <c r="AM12" s="314">
        <f>SUM(IFERROR(VLOOKUP(AI12,$I$12:$M$17,5,0),0),IFERROR(VLOOKUP(AI12,$R$12:$V$17,5,0),0),IFERROR(VLOOKUP(AI12,$AA$12:$AE$17,5,0),0))</f>
        <v>0</v>
      </c>
      <c r="AN12" s="320">
        <f t="shared" si="4"/>
        <v>0</v>
      </c>
      <c r="AO12" s="327">
        <v>0</v>
      </c>
      <c r="AP12" s="1"/>
      <c r="AQ12" s="8">
        <f>IF(OR(AI12="",AJ12="",AK12="",AL12="",AO12=""),"",RANK(AJ12,$AJ$12:$AJ$17)+SUM(-$AK12/1000)-(+$AL12/10000)-(+AO12/100000)+COUNTIF(AI$12:AI$17,"&lt;="&amp;AI12+1)/10000000000+ROW()/100000000000)</f>
        <v>2.00000000012</v>
      </c>
      <c r="AR12" s="30">
        <f>IF(AI12="","",SMALL(AQ$12:AQ$17,ROWS(AJ$12:AJ12)))</f>
        <v>0.99270000016000004</v>
      </c>
      <c r="AS12" s="172"/>
      <c r="AT12" s="273">
        <f>IF(AR12="","",1)</f>
        <v>1</v>
      </c>
      <c r="AU12" s="359" t="str">
        <f>IF(OR(AI12="",AJ12=""),"",INDEX($AI$12:$AI$17,MATCH(AR12,$AQ$12:$AQ$17,0)))</f>
        <v>GRAND Emmanuel</v>
      </c>
      <c r="AV12" s="274">
        <f>IF(OR(AI12="",AJ12=""),"",INDEX($AJ$12:$AJ$17,MATCH(AR12,$AQ$12:$AQ$17,0)))</f>
        <v>2</v>
      </c>
      <c r="AW12" s="274">
        <f>IF(OR(AI12="",AK12=""),"",INDEX($AK$12:$AK$17,MATCH(AR12,$AQ$12:$AQ$17,0)))</f>
        <v>6</v>
      </c>
      <c r="AX12" s="282">
        <f>IF(OR(AI12="",AL12=""),"",INDEX($AL$12:$AL$17,MATCH(AR12,$AQ$12:$AQ$17,0)))</f>
        <v>13</v>
      </c>
      <c r="AY12" s="299">
        <f>IF(OR(AI12="",AM12=""),"",INDEX($AM$12:$AM$17,MATCH(AR12,$AQ$12:$AQ$17,0)))</f>
        <v>7</v>
      </c>
      <c r="AZ12" s="303">
        <f>IF(OR(AI12="",AO12=""),"",INDEX($AO$12:$AO$16,MATCH(AR12,$AQ$12:$AQ$16,0)))</f>
        <v>0</v>
      </c>
      <c r="BA12" s="7"/>
      <c r="BB12" s="365" t="str">
        <f>I12</f>
        <v xml:space="preserve">RISSOAN Grégory </v>
      </c>
      <c r="BC12" s="288">
        <f t="array" ref="BC12">SUM($BD$12:$BF$12)</f>
        <v>0</v>
      </c>
      <c r="BD12" s="247">
        <f t="array" ref="BD12">IF(OR($I$12:$I$13="OFFICE"),0,IF($J$12&gt;$J$13,1,0))</f>
        <v>0</v>
      </c>
      <c r="BE12" s="248">
        <f t="array" ref="BE12">IF(OR($R$14:$R$15="OFFICE"),0,IF($S$14&gt;$S$15,1,0))</f>
        <v>0</v>
      </c>
      <c r="BF12" s="249">
        <f t="array" ref="BF12">IF(OR($AA$16:$AA$17="OFFICE"),0,IF($AB$16&gt;$AB$17,1,0))</f>
        <v>0</v>
      </c>
    </row>
    <row r="13" spans="1:58" s="6" customFormat="1" ht="27.95" customHeight="1" thickBot="1">
      <c r="A13" s="216">
        <v>7</v>
      </c>
      <c r="B13" s="372" t="s">
        <v>135</v>
      </c>
      <c r="C13" s="373" t="s">
        <v>151</v>
      </c>
      <c r="D13" s="371">
        <v>8</v>
      </c>
      <c r="F13" s="389"/>
      <c r="G13" s="262">
        <v>7</v>
      </c>
      <c r="H13" s="396"/>
      <c r="I13" s="345" t="str">
        <f>IF(ISNA(MATCH(G13,$D$7:$D$30,0)),"",INDEX($B$7:$B$30,MATCH(G13,$D$7:$D$30,0)))</f>
        <v>DEMENUS Robin</v>
      </c>
      <c r="J13" s="265"/>
      <c r="K13" s="264">
        <f>IF($J$13&gt;$J$12,2,0)</f>
        <v>0</v>
      </c>
      <c r="L13" s="264">
        <f>+$J$13</f>
        <v>0</v>
      </c>
      <c r="M13" s="308">
        <f>+J12</f>
        <v>0</v>
      </c>
      <c r="N13" s="264">
        <f>$J$13-$J$12</f>
        <v>0</v>
      </c>
      <c r="O13" s="264">
        <f>$K$13/2</f>
        <v>0</v>
      </c>
      <c r="P13" s="169"/>
      <c r="Q13" s="396"/>
      <c r="R13" s="349" t="str">
        <f>+I13</f>
        <v>DEMENUS Robin</v>
      </c>
      <c r="S13" s="265"/>
      <c r="T13" s="264">
        <f>IF($S$13&gt;$S$12,2,0)</f>
        <v>0</v>
      </c>
      <c r="U13" s="264">
        <f>+$S$13</f>
        <v>0</v>
      </c>
      <c r="V13" s="146">
        <f>+S12</f>
        <v>0</v>
      </c>
      <c r="W13" s="264">
        <f>$S$13-$S$12</f>
        <v>0</v>
      </c>
      <c r="X13" s="264">
        <f>$T$13/2</f>
        <v>0</v>
      </c>
      <c r="Y13" s="178"/>
      <c r="Z13" s="396"/>
      <c r="AA13" s="354" t="str">
        <f>+R16</f>
        <v>POULAILLON Philippe</v>
      </c>
      <c r="AB13" s="265"/>
      <c r="AC13" s="258">
        <f>IF($AB$13&gt;$AB$12,2,0)</f>
        <v>0</v>
      </c>
      <c r="AD13" s="258">
        <f>+$AB$13</f>
        <v>0</v>
      </c>
      <c r="AE13" s="308">
        <f>+AB12</f>
        <v>0</v>
      </c>
      <c r="AF13" s="258">
        <f>$AB$13-$AB$12</f>
        <v>0</v>
      </c>
      <c r="AG13" s="258">
        <f>$AC$13/2</f>
        <v>0</v>
      </c>
      <c r="AH13"/>
      <c r="AI13" s="335" t="str">
        <f>IF($J$13&lt;&gt;"",$I$13," ")</f>
        <v xml:space="preserve"> </v>
      </c>
      <c r="AJ13" s="213">
        <f t="shared" ref="AJ13:AJ16" si="11">SUM(IFERROR(VLOOKUP(AI13,$I$12:$K$17,3,0),0),IFERROR(VLOOKUP(AI13,$R$12:$T$17,3,0),0),IFERROR(VLOOKUP(AI13,$AA$12:$AC$17,3,0),0))</f>
        <v>0</v>
      </c>
      <c r="AK13" s="209">
        <f t="shared" ref="AK13:AK16" si="12">SUM(IFERROR(VLOOKUP(AI13,$I$12:$N$17,6,0),0),IFERROR(VLOOKUP(AI13,$R$12:$W$17,6,0),0),IFERROR(VLOOKUP(AI13,$AA$12:$AF$17,6,0),0))</f>
        <v>0</v>
      </c>
      <c r="AL13" s="213">
        <f t="shared" ref="AL13:AL16" si="13">SUM(IFERROR(VLOOKUP(AI13,$I$12:$M$17,4,0),0),IFERROR(VLOOKUP(AI13,$R$12:$V$17,4,0),0),IFERROR(VLOOKUP(AI13,$AA$12:$AE$17,4,0),0))</f>
        <v>0</v>
      </c>
      <c r="AM13" s="313">
        <f t="shared" ref="AM13:AM16" si="14">SUM(IFERROR(VLOOKUP(AI13,$I$12:$M$17,5,0),0),IFERROR(VLOOKUP(AI13,$R$12:$V$17,5,0),0),IFERROR(VLOOKUP(AI13,$AA$12:$AE$17,5,0),0))</f>
        <v>0</v>
      </c>
      <c r="AN13" s="209">
        <f t="shared" si="4"/>
        <v>0</v>
      </c>
      <c r="AO13" s="325">
        <v>0</v>
      </c>
      <c r="AP13" s="1"/>
      <c r="AQ13" s="8">
        <f t="shared" ref="AQ13:AQ16" si="15">IF(OR(AI13="",AJ13="",AK13="",AL13="",AO13=""),"",RANK(AJ13,$AJ$12:$AJ$17)+SUM(-$AK13/1000)-(+$AL13/10000)-(+AO13/100000)+COUNTIF(AI$12:AI$17,"&lt;="&amp;AI13+1)/10000000000+ROW()/100000000000)</f>
        <v>2.00000000013</v>
      </c>
      <c r="AR13" s="9">
        <f>IF(AI13="","",SMALL(AQ$12:AQ$17,ROWS(AJ$12:AJ13)))</f>
        <v>2.00000000012</v>
      </c>
      <c r="AS13" s="172"/>
      <c r="AT13" s="275">
        <f>IF(AR13="","",IF(AND(AV12=AV13,AX12=AX13,AY12=AY13,AW13=AW12,AZ13=AZ12),AT12,$AT$6+1))</f>
        <v>2</v>
      </c>
      <c r="AU13" s="360" t="str">
        <f>IF(OR(AI13="",AJ13=""),"",INDEX($AI$12:$AI$17,MATCH(AR13,$AQ$12:$AQ$17,0)))</f>
        <v xml:space="preserve"> </v>
      </c>
      <c r="AV13" s="276">
        <f>IF(OR(AI13="",AJ13=""),"",INDEX($AJ$12:$AJ$17,MATCH(AR13,$AQ$12:$AQ$17,0)))</f>
        <v>0</v>
      </c>
      <c r="AW13" s="276">
        <f t="shared" ref="AW13:AW16" si="16">IF(OR(AI13="",AK13=""),"",INDEX($AK$12:$AK$17,MATCH(AR13,$AQ$12:$AQ$17,0)))</f>
        <v>0</v>
      </c>
      <c r="AX13" s="283">
        <f>IF(OR(AI13="",AL13=""),"",INDEX($AL$12:$AL$17,MATCH(AR13,$AQ$12:$AQ$17,0)))</f>
        <v>0</v>
      </c>
      <c r="AY13" s="300">
        <f>IF(OR(AI13="",AM13=""),"",INDEX($AM$12:$AM$17,MATCH(AR13,$AQ$12:$AQ$17,0)))</f>
        <v>0</v>
      </c>
      <c r="AZ13" s="304">
        <f t="shared" ref="AZ13:AZ15" si="17">IF(OR(AI13="",AO13=""),"",INDEX($AO$12:$AO$16,MATCH(AR13,$AQ$12:$AQ$16,0)))</f>
        <v>0</v>
      </c>
      <c r="BA13" s="7"/>
      <c r="BB13" s="366" t="str">
        <f>+I13</f>
        <v>DEMENUS Robin</v>
      </c>
      <c r="BC13" s="289">
        <f t="array" ref="BC13">SUM($BD$13:$BF$13)</f>
        <v>0</v>
      </c>
      <c r="BD13" s="250">
        <f t="array" ref="BD13">IF(OR($I$12:$I$13="OFFICE"),0,IF($J$13&gt;$J$12,1,0))</f>
        <v>0</v>
      </c>
      <c r="BE13" s="165">
        <f t="array" ref="BE13">IF(OR($R$12:$R$13="OFFICE"),0,IF($S$12&lt;$S$13,1,0))</f>
        <v>0</v>
      </c>
      <c r="BF13" s="251">
        <f t="array" ref="BF13">IF(OR($AA$14:$AA$15="OFFICE"),0,IF($AB$15&lt;$AB$14,1,0))</f>
        <v>0</v>
      </c>
    </row>
    <row r="14" spans="1:58" s="6" customFormat="1" ht="27.95" customHeight="1">
      <c r="A14" s="216">
        <v>8</v>
      </c>
      <c r="B14" s="374" t="s">
        <v>136</v>
      </c>
      <c r="C14" s="373" t="s">
        <v>152</v>
      </c>
      <c r="D14" s="371">
        <v>1</v>
      </c>
      <c r="F14" s="389"/>
      <c r="G14" s="262">
        <v>8</v>
      </c>
      <c r="H14" s="386">
        <v>4</v>
      </c>
      <c r="I14" s="344" t="str">
        <f>IF(ISNA(MATCH(G14,$D$7:$D$30,0)),"",INDEX($B$7:$B$30,MATCH(G14,$D$7:$D$30,0)))</f>
        <v>POULAILLON Philippe</v>
      </c>
      <c r="J14" s="263"/>
      <c r="K14" s="264">
        <f>IF($J$14&gt;$J$15,2,0)</f>
        <v>0</v>
      </c>
      <c r="L14" s="264">
        <f>+$J$14</f>
        <v>0</v>
      </c>
      <c r="M14" s="308">
        <f>+J15</f>
        <v>0</v>
      </c>
      <c r="N14" s="264">
        <f>$J$14-$J$15</f>
        <v>0</v>
      </c>
      <c r="O14" s="264">
        <f>$K$14/2</f>
        <v>0</v>
      </c>
      <c r="P14" s="169"/>
      <c r="Q14" s="386">
        <v>2</v>
      </c>
      <c r="R14" s="350" t="str">
        <f>+I12</f>
        <v xml:space="preserve">RISSOAN Grégory </v>
      </c>
      <c r="S14" s="263"/>
      <c r="T14" s="264">
        <f>IF($S$14&gt;$S$15,2,0)</f>
        <v>0</v>
      </c>
      <c r="U14" s="264">
        <f>+$S$14</f>
        <v>0</v>
      </c>
      <c r="V14" s="146">
        <f>+S15</f>
        <v>0</v>
      </c>
      <c r="W14" s="264">
        <f>$S$14-$S$15</f>
        <v>0</v>
      </c>
      <c r="X14" s="264">
        <f>$T$14/2</f>
        <v>0</v>
      </c>
      <c r="Y14" s="178"/>
      <c r="Z14" s="386">
        <v>6</v>
      </c>
      <c r="AA14" s="350" t="str">
        <f>+R13</f>
        <v>DEMENUS Robin</v>
      </c>
      <c r="AB14" s="263"/>
      <c r="AC14" s="258">
        <f>IF($AB$14&gt;$AB$15,2,0)</f>
        <v>0</v>
      </c>
      <c r="AD14" s="258">
        <f>+$AB$14</f>
        <v>0</v>
      </c>
      <c r="AE14" s="308">
        <f>+AB15</f>
        <v>0</v>
      </c>
      <c r="AF14" s="258">
        <f>$AB$14-$AB$15</f>
        <v>0</v>
      </c>
      <c r="AG14" s="258">
        <f>$AC$14/2</f>
        <v>0</v>
      </c>
      <c r="AH14"/>
      <c r="AI14" s="335" t="str">
        <f>IF($J$14&lt;&gt;"",$I$14," ")</f>
        <v xml:space="preserve"> </v>
      </c>
      <c r="AJ14" s="213">
        <f t="shared" si="11"/>
        <v>0</v>
      </c>
      <c r="AK14" s="209">
        <f t="shared" si="12"/>
        <v>0</v>
      </c>
      <c r="AL14" s="213">
        <f t="shared" si="13"/>
        <v>0</v>
      </c>
      <c r="AM14" s="313">
        <f t="shared" si="14"/>
        <v>0</v>
      </c>
      <c r="AN14" s="209">
        <f t="shared" si="4"/>
        <v>0</v>
      </c>
      <c r="AO14" s="325">
        <v>0</v>
      </c>
      <c r="AP14" s="1"/>
      <c r="AQ14" s="8">
        <f t="shared" si="15"/>
        <v>2.00000000014</v>
      </c>
      <c r="AR14" s="9">
        <f>IF(AI14="","",SMALL(AQ$12:AQ$17,ROWS(AJ$12:AJ14)))</f>
        <v>2.00000000013</v>
      </c>
      <c r="AS14" s="172"/>
      <c r="AT14" s="275">
        <f>IF(AR14="","",IF(AND(AV13=AV14,AX13=AX14,AY13=AY14,AW14=AW13,AZ14=AZ13),AT13,$AT$6+2))</f>
        <v>2</v>
      </c>
      <c r="AU14" s="360" t="str">
        <f>IF(OR(AI14="",AJ14=""),"",INDEX($AI$12:$AI$17,MATCH(AR14,$AQ$12:$AQ$17,0)))</f>
        <v xml:space="preserve"> </v>
      </c>
      <c r="AV14" s="276">
        <f>IF(OR(AI14="",AJ14=""),"",INDEX($AJ$12:$AJ$17,MATCH(AR14,$AQ$12:$AQ$17,0)))</f>
        <v>0</v>
      </c>
      <c r="AW14" s="276">
        <f t="shared" si="16"/>
        <v>0</v>
      </c>
      <c r="AX14" s="283">
        <f>IF(OR(AI14="",AL14=""),"",INDEX($AL$12:$AL$17,MATCH(AR14,$AQ$12:$AQ$17,0)))</f>
        <v>0</v>
      </c>
      <c r="AY14" s="300">
        <f>IF(OR(AI14="",AM14=""),"",INDEX($AM$12:$AM$17,MATCH(AR14,$AQ$12:$AQ$17,0)))</f>
        <v>0</v>
      </c>
      <c r="AZ14" s="304">
        <f t="shared" si="17"/>
        <v>0</v>
      </c>
      <c r="BA14" s="7"/>
      <c r="BB14" s="366" t="str">
        <f>+I14</f>
        <v>POULAILLON Philippe</v>
      </c>
      <c r="BC14" s="289">
        <f t="array" ref="BC14">SUM($BD$14:$BF$14)</f>
        <v>0</v>
      </c>
      <c r="BD14" s="250">
        <f t="array" ref="BD14">IF(OR($I$14:$I$15="OFFICE"),0,IF($J$14&gt;$J$15,1,0))</f>
        <v>0</v>
      </c>
      <c r="BE14" s="165">
        <f t="array" ref="BE14">IF(OR($R$16:$R$17="OFFICE"),0,IF($S$16&gt;$S$17,1,0))</f>
        <v>0</v>
      </c>
      <c r="BF14" s="251">
        <f t="array" ref="BF14">IF(OR($AA$12:$AA$13="OFFICE"),0,IF($AB$13&gt;$AB$12,1,0))</f>
        <v>0</v>
      </c>
    </row>
    <row r="15" spans="1:58" s="6" customFormat="1" ht="27.95" customHeight="1" thickBot="1">
      <c r="A15" s="216">
        <v>9</v>
      </c>
      <c r="B15" s="372" t="s">
        <v>137</v>
      </c>
      <c r="C15" s="373" t="s">
        <v>153</v>
      </c>
      <c r="D15" s="371">
        <v>17</v>
      </c>
      <c r="F15" s="389"/>
      <c r="G15" s="262">
        <v>9</v>
      </c>
      <c r="H15" s="396"/>
      <c r="I15" s="345" t="str">
        <f>IF(ISNA(MATCH(G15,$D$7:$D$30,0)),"",INDEX($B$7:$B$30,MATCH(G15,$D$7:$D$30,0)))</f>
        <v>SERVY Jérome</v>
      </c>
      <c r="J15" s="266"/>
      <c r="K15" s="264">
        <f>IF($J$15&gt;$J$14,2,0)</f>
        <v>0</v>
      </c>
      <c r="L15" s="264">
        <f>+$J$15</f>
        <v>0</v>
      </c>
      <c r="M15" s="308">
        <f>+J14</f>
        <v>0</v>
      </c>
      <c r="N15" s="264">
        <f>$J$15-$J$14</f>
        <v>0</v>
      </c>
      <c r="O15" s="264">
        <f>$K$15/2</f>
        <v>0</v>
      </c>
      <c r="P15" s="169"/>
      <c r="Q15" s="387"/>
      <c r="R15" s="351" t="str">
        <f>+I15</f>
        <v>SERVY Jérome</v>
      </c>
      <c r="S15" s="266"/>
      <c r="T15" s="264">
        <f>IF($S$15&gt;$S$14,2,0)</f>
        <v>0</v>
      </c>
      <c r="U15" s="264">
        <f>+$S$15</f>
        <v>0</v>
      </c>
      <c r="V15" s="146">
        <f>+S14</f>
        <v>0</v>
      </c>
      <c r="W15" s="264">
        <f>$S$15-$S$14</f>
        <v>0</v>
      </c>
      <c r="X15" s="264">
        <f>$T$15/2</f>
        <v>0</v>
      </c>
      <c r="Y15" s="178"/>
      <c r="Z15" s="387"/>
      <c r="AA15" s="355" t="str">
        <f>+R15</f>
        <v>SERVY Jérome</v>
      </c>
      <c r="AB15" s="265"/>
      <c r="AC15" s="258">
        <f>IF($AB$15&gt;$AB$14,2,0)</f>
        <v>0</v>
      </c>
      <c r="AD15" s="258">
        <f>+$AB$15</f>
        <v>0</v>
      </c>
      <c r="AE15" s="308">
        <f>+AB14</f>
        <v>0</v>
      </c>
      <c r="AF15" s="258">
        <f>$AB$15-$AB$14</f>
        <v>0</v>
      </c>
      <c r="AG15" s="258">
        <f>$AC$15/2</f>
        <v>0</v>
      </c>
      <c r="AH15"/>
      <c r="AI15" s="335" t="str">
        <f>IF($J$15&lt;&gt;"",$I$15," ")</f>
        <v xml:space="preserve"> </v>
      </c>
      <c r="AJ15" s="213">
        <f t="shared" si="11"/>
        <v>0</v>
      </c>
      <c r="AK15" s="209">
        <f t="shared" si="12"/>
        <v>0</v>
      </c>
      <c r="AL15" s="213">
        <f t="shared" si="13"/>
        <v>0</v>
      </c>
      <c r="AM15" s="313">
        <f t="shared" si="14"/>
        <v>0</v>
      </c>
      <c r="AN15" s="209">
        <f t="shared" si="4"/>
        <v>0</v>
      </c>
      <c r="AO15" s="325">
        <v>0</v>
      </c>
      <c r="AP15" s="1"/>
      <c r="AQ15" s="8">
        <f t="shared" si="15"/>
        <v>2.00000000015</v>
      </c>
      <c r="AR15" s="9">
        <f>IF(AI15="","",SMALL(AQ$12:AQ$17,ROWS(AJ$12:AJ15)))</f>
        <v>2.00000000014</v>
      </c>
      <c r="AS15" s="172"/>
      <c r="AT15" s="275">
        <f>IF(AR15="","",IF(AND(AV14=AV15,AX14=AX15,AY14=AY15,AW15=AW14,AZ15=AZ14),AT14,$AT$6+3))</f>
        <v>2</v>
      </c>
      <c r="AU15" s="361" t="str">
        <f>IF(OR(AI15="",AJ15=""),"",INDEX($AI$12:$AI$17,MATCH(AR15,$AQ$12:$AQ$17,0)))</f>
        <v xml:space="preserve"> </v>
      </c>
      <c r="AV15" s="277">
        <f>IF(OR(AI15="",AJ15=""),"",INDEX($AJ$12:$AJ$17,MATCH(AR15,$AQ$12:$AQ$17,0)))</f>
        <v>0</v>
      </c>
      <c r="AW15" s="277">
        <f t="shared" si="16"/>
        <v>0</v>
      </c>
      <c r="AX15" s="284">
        <f>IF(OR(AI15="",AL15=""),"",INDEX($AL$12:$AL$17,MATCH(AR15,$AQ$12:$AQ$17,0)))</f>
        <v>0</v>
      </c>
      <c r="AY15" s="301">
        <f>IF(OR(AI15="",AM15=""),"",INDEX($AM$12:$AM$17,MATCH(AR15,$AQ$12:$AQ$17,0)))</f>
        <v>0</v>
      </c>
      <c r="AZ15" s="305">
        <f t="shared" si="17"/>
        <v>0</v>
      </c>
      <c r="BA15" s="7"/>
      <c r="BB15" s="367" t="str">
        <f>+I15</f>
        <v>SERVY Jérome</v>
      </c>
      <c r="BC15" s="290">
        <f t="array" ref="BC15">SUM($BD$15:$BF$15)</f>
        <v>0</v>
      </c>
      <c r="BD15" s="250">
        <f t="array" ref="BD15">IF(OR($I$14:$I$15="OFFICE"),0,IF($J$14&lt;$J$15,1,0))</f>
        <v>0</v>
      </c>
      <c r="BE15" s="252">
        <f t="array" ref="BE15">IF(OR($R$14:$R$15="OFFICE"),0,IF($S$15&gt;$S$14,1,0))</f>
        <v>0</v>
      </c>
      <c r="BF15" s="253">
        <f t="array" ref="BF15">IF(OR($AA$14:$AA$15="OFFICE"),0,IF($AB$14&lt;$AB$15,1,0))</f>
        <v>0</v>
      </c>
    </row>
    <row r="16" spans="1:58" s="6" customFormat="1" ht="27.95" customHeight="1" thickBot="1">
      <c r="A16" s="216">
        <v>10</v>
      </c>
      <c r="B16" s="373" t="s">
        <v>138</v>
      </c>
      <c r="C16" s="373" t="s">
        <v>154</v>
      </c>
      <c r="D16" s="371">
        <v>9</v>
      </c>
      <c r="F16" s="389"/>
      <c r="G16" s="391">
        <v>10</v>
      </c>
      <c r="H16" s="393"/>
      <c r="I16" s="346" t="str">
        <f>IF(ISNA(MATCH(G16,$D$7:$D$30,0)),"",INDEX($B$7:$B$30,MATCH(G16,$D$7:$D$30,0)))</f>
        <v>GRAND Emmanuel</v>
      </c>
      <c r="J16" s="263">
        <v>13</v>
      </c>
      <c r="K16" s="264">
        <f>IF($J$16&gt;$J$17,2,0)</f>
        <v>2</v>
      </c>
      <c r="L16" s="264">
        <f>+$J$16</f>
        <v>13</v>
      </c>
      <c r="M16" s="308">
        <f>+J17</f>
        <v>7</v>
      </c>
      <c r="N16" s="264">
        <f>$J$16-$J$17</f>
        <v>6</v>
      </c>
      <c r="O16" s="264">
        <v>0</v>
      </c>
      <c r="P16" s="169"/>
      <c r="Q16" s="395"/>
      <c r="R16" s="352" t="str">
        <f>+I14</f>
        <v>POULAILLON Philippe</v>
      </c>
      <c r="S16" s="263">
        <v>13</v>
      </c>
      <c r="T16" s="264">
        <f>IF($S$16&gt;$S$17,2,0)</f>
        <v>2</v>
      </c>
      <c r="U16" s="264">
        <f>+$S$16</f>
        <v>13</v>
      </c>
      <c r="V16" s="146">
        <f>+S17</f>
        <v>7</v>
      </c>
      <c r="W16" s="264">
        <f>$S$16-$S$17</f>
        <v>6</v>
      </c>
      <c r="X16" s="264">
        <v>0</v>
      </c>
      <c r="Y16" s="178"/>
      <c r="Z16" s="395"/>
      <c r="AA16" s="356" t="str">
        <f>+R14</f>
        <v xml:space="preserve">RISSOAN Grégory </v>
      </c>
      <c r="AB16" s="263">
        <v>13</v>
      </c>
      <c r="AC16" s="258">
        <f>IF($AB$16&gt;$AB$17,2,0)</f>
        <v>2</v>
      </c>
      <c r="AD16" s="258">
        <f>+$AB$16</f>
        <v>13</v>
      </c>
      <c r="AE16" s="308">
        <f>+AB17</f>
        <v>7</v>
      </c>
      <c r="AF16" s="258">
        <f>$AB$16-$AB$17</f>
        <v>6</v>
      </c>
      <c r="AG16" s="173">
        <v>0</v>
      </c>
      <c r="AH16"/>
      <c r="AI16" s="336" t="str">
        <f>IF($J$16&lt;&gt;"",$I$16," ")</f>
        <v>GRAND Emmanuel</v>
      </c>
      <c r="AJ16" s="316">
        <f t="shared" si="11"/>
        <v>2</v>
      </c>
      <c r="AK16" s="317">
        <f t="shared" si="12"/>
        <v>6</v>
      </c>
      <c r="AL16" s="316">
        <f t="shared" si="13"/>
        <v>13</v>
      </c>
      <c r="AM16" s="318">
        <f t="shared" si="14"/>
        <v>7</v>
      </c>
      <c r="AN16" s="317">
        <f t="shared" si="4"/>
        <v>0</v>
      </c>
      <c r="AO16" s="326">
        <v>0</v>
      </c>
      <c r="AP16" s="1"/>
      <c r="AQ16" s="8">
        <f t="shared" si="15"/>
        <v>0.99270000016000004</v>
      </c>
      <c r="AR16" s="9">
        <f>IF(AI16="","",SMALL(AQ$12:AQ$17,ROWS(AJ$12:AJ16)))</f>
        <v>2.00000000015</v>
      </c>
      <c r="AS16" s="172"/>
      <c r="AT16" s="285">
        <f>IF(AR16="","",IF(AND(AV15=AV16,AX15=AX16,AY15=AY16,AW16=AW15,AZ16=AZ15),AT15,$AT$6+4))</f>
        <v>2</v>
      </c>
      <c r="AU16" s="362" t="str">
        <f>IF(OR(AI16="",AJ16=""),"",INDEX($AI$12:$AI$17,MATCH(AR16,$AQ$12:$AQ$17,0)))</f>
        <v xml:space="preserve"> </v>
      </c>
      <c r="AV16" s="278">
        <f>IF(OR(AI16="",AJ16=""),"",INDEX($AJ$12:$AJ$17,MATCH(AR16,$AQ$12:$AQ$17,0)))</f>
        <v>0</v>
      </c>
      <c r="AW16" s="278">
        <f t="shared" si="16"/>
        <v>0</v>
      </c>
      <c r="AX16" s="286">
        <f>IF(OR(AI16="",AL16=""),"",INDEX($AL$12:$AL$17,MATCH(AR16,$AQ$12:$AQ$17,0)))</f>
        <v>0</v>
      </c>
      <c r="AY16" s="302">
        <f>IF(OR(AI16="",AM16=""),"",INDEX($AM$12:$AM$17,MATCH(AR16,$AQ$12:$AQ$17,0)))</f>
        <v>0</v>
      </c>
      <c r="AZ16" s="306">
        <f>IF(OR(AI16="",AO16=""),"",INDEX($AO$12:$AO$16,MATCH(AR16,$AQ$12:$AQ$16,0)))</f>
        <v>0</v>
      </c>
      <c r="BA16" s="7"/>
      <c r="BB16" s="368" t="str">
        <f>+I16</f>
        <v>GRAND Emmanuel</v>
      </c>
      <c r="BC16" s="291">
        <f t="array" ref="BC16">SUM($BD$16:$BF$16)</f>
        <v>0</v>
      </c>
      <c r="BD16" s="254">
        <f t="array" ref="BD16">IF(OR($I$16:$I$17="OFFICE"),0,IF($J$16&gt;$J$17,1,0))</f>
        <v>0</v>
      </c>
      <c r="BE16" s="255">
        <f t="array" ref="BE16">IF(OR($R$12:$R$13="OFFICE"),0,IF($S$12&gt;$S$13,1,0))</f>
        <v>0</v>
      </c>
      <c r="BF16" s="256">
        <f t="array" ref="BF16">IF(OR($AA$12:$AA$13="OFFICE"),0,IF($AB$12&gt;$AB$13,1,0))</f>
        <v>0</v>
      </c>
    </row>
    <row r="17" spans="1:66" s="6" customFormat="1" ht="27.95" customHeight="1" thickBot="1">
      <c r="A17" s="216">
        <v>11</v>
      </c>
      <c r="B17" s="372" t="s">
        <v>139</v>
      </c>
      <c r="C17" s="373" t="s">
        <v>155</v>
      </c>
      <c r="D17" s="371">
        <v>20</v>
      </c>
      <c r="F17" s="390"/>
      <c r="G17" s="392"/>
      <c r="H17" s="394"/>
      <c r="I17" s="272" t="s">
        <v>84</v>
      </c>
      <c r="J17" s="265">
        <v>7</v>
      </c>
      <c r="K17" s="267">
        <f>IF($J$17&gt;$J$16,2,0)</f>
        <v>0</v>
      </c>
      <c r="L17" s="268">
        <f>+$J$17</f>
        <v>7</v>
      </c>
      <c r="M17" s="308">
        <f>+J16</f>
        <v>13</v>
      </c>
      <c r="N17" s="268">
        <f>$J$17-$J$16</f>
        <v>-6</v>
      </c>
      <c r="O17" s="268"/>
      <c r="P17" s="269"/>
      <c r="Q17" s="394"/>
      <c r="R17" s="272" t="s">
        <v>84</v>
      </c>
      <c r="S17" s="265">
        <v>7</v>
      </c>
      <c r="T17" s="267">
        <v>0</v>
      </c>
      <c r="U17" s="268">
        <f>+$S$17</f>
        <v>7</v>
      </c>
      <c r="V17" s="146">
        <f>+S16</f>
        <v>13</v>
      </c>
      <c r="W17" s="268">
        <f>$S$17-$S$16</f>
        <v>-6</v>
      </c>
      <c r="X17" s="268"/>
      <c r="Y17" s="269"/>
      <c r="Z17" s="394"/>
      <c r="AA17" s="272" t="s">
        <v>84</v>
      </c>
      <c r="AB17" s="265">
        <v>7</v>
      </c>
      <c r="AC17" s="259">
        <v>0</v>
      </c>
      <c r="AD17" s="260">
        <f>+$AB$17</f>
        <v>7</v>
      </c>
      <c r="AE17" s="308">
        <f>+AB16</f>
        <v>13</v>
      </c>
      <c r="AF17" s="260">
        <f>$AB$17-$AB$16</f>
        <v>-6</v>
      </c>
      <c r="AG17" s="174"/>
      <c r="AH17"/>
      <c r="AI17" s="328" t="str">
        <f>IF($J$16&lt;&gt;"",$I$17," ")</f>
        <v>OFFICE</v>
      </c>
      <c r="AJ17" s="329">
        <f t="shared" ref="AJ17" si="18">SUM(IFERROR(VLOOKUP(AI17,$I$12:$K$17,3,0),0),IFERROR(VLOOKUP(AI17,$R$12:$T$17,3,0),0),IFERROR(VLOOKUP(AI17,$AA$12:$AC$17,3,0),0))</f>
        <v>0</v>
      </c>
      <c r="AK17" s="330">
        <f t="shared" ref="AK17" si="19">SUM(IFERROR(VLOOKUP(AI17,$I$12:$N$17,6,0),0),IFERROR(VLOOKUP(AI17,$R$12:$W$17,6,0),0),IFERROR(VLOOKUP(AI17,$AA$12:$AF$17,6,0),0))</f>
        <v>-18</v>
      </c>
      <c r="AL17" s="329">
        <f t="shared" ref="AL17" si="20">SUM(IFERROR(VLOOKUP(AI17,$I$12:$M$17,4,0),0),IFERROR(VLOOKUP(AI17,$R$12:$V$17,4,0),0),IFERROR(VLOOKUP(AI17,$AA$12:$AE$17,4,0),0))</f>
        <v>21</v>
      </c>
      <c r="AM17" s="332">
        <f t="shared" ref="AM17" si="21">SUM(IFERROR(VLOOKUP(AI17,$I$12:$M$17,5,0),0),IFERROR(VLOOKUP(AI17,$R$12:$V$17,5,0),0),IFERROR(VLOOKUP(AI17,$AA$12:$AE$17,5,0),0))</f>
        <v>39</v>
      </c>
      <c r="AN17" s="330">
        <f t="shared" si="4"/>
        <v>0</v>
      </c>
      <c r="AO17" s="338"/>
      <c r="AP17" s="31"/>
      <c r="AQ17" s="8" t="str">
        <f t="shared" ref="AQ17:AQ23" si="22">IF(OR(AI17="",AJ17="",AK17="",AL17="",AM17="",AO17=""),"",RANK(AJ17,$AJ$6:$AJ$11)+SUM(-$AK17/1000)-(+$AL17/10000)-(+AO17/100000)-(-AM17/1000000)+COUNTIF(AI$6:AI$11,"&lt;="&amp;AI17+1)/10000000000+ROW()/100000000000)</f>
        <v/>
      </c>
      <c r="AR17" s="175"/>
      <c r="AS17" s="175"/>
      <c r="AT17" s="279"/>
      <c r="AU17" s="363"/>
      <c r="AV17" s="280"/>
      <c r="AW17" s="280"/>
      <c r="AX17" s="280"/>
      <c r="AY17" s="280"/>
      <c r="AZ17" s="280"/>
      <c r="BA17" s="7"/>
      <c r="BB17" s="369"/>
      <c r="BC17" s="257">
        <f>SUM($BC$12:$BC$16)</f>
        <v>0</v>
      </c>
      <c r="BD17" s="257">
        <f>SUM($BD$12:$BD$16)</f>
        <v>0</v>
      </c>
      <c r="BE17" s="257">
        <f>SUM($BE$12:$BE$16)</f>
        <v>0</v>
      </c>
      <c r="BF17" s="257">
        <f>SUM($BF$12:$BF$16)</f>
        <v>0</v>
      </c>
    </row>
    <row r="18" spans="1:66" s="6" customFormat="1" ht="27.95" customHeight="1">
      <c r="A18" s="216">
        <v>12</v>
      </c>
      <c r="B18" s="376" t="s">
        <v>165</v>
      </c>
      <c r="C18" s="373" t="s">
        <v>149</v>
      </c>
      <c r="D18" s="371">
        <v>10</v>
      </c>
      <c r="F18" s="388">
        <v>3</v>
      </c>
      <c r="G18" s="261">
        <v>11</v>
      </c>
      <c r="H18" s="386">
        <v>5</v>
      </c>
      <c r="I18" s="344" t="str">
        <f>IF(ISNA(MATCH(G18,$D$7:$D$30,0)),"",INDEX($B$7:$B$30,MATCH(G18,$D$7:$D$30,0)))</f>
        <v>GAILLARD Jean Louis</v>
      </c>
      <c r="J18" s="263"/>
      <c r="K18" s="264">
        <f>IF($J$18&gt;$J$19,2,0)</f>
        <v>0</v>
      </c>
      <c r="L18" s="264">
        <f>+$J$18</f>
        <v>0</v>
      </c>
      <c r="M18" s="308">
        <f>+J19</f>
        <v>0</v>
      </c>
      <c r="N18" s="264">
        <f>$J$18-$J$19</f>
        <v>0</v>
      </c>
      <c r="O18" s="264">
        <f>$K$18/2</f>
        <v>0</v>
      </c>
      <c r="P18" s="169"/>
      <c r="Q18" s="386">
        <v>3</v>
      </c>
      <c r="R18" s="348" t="str">
        <f>+I22</f>
        <v xml:space="preserve">MAIRE Gaël </v>
      </c>
      <c r="S18" s="263"/>
      <c r="T18" s="264">
        <f>IF($S$18&gt;$S$19,2,0)</f>
        <v>0</v>
      </c>
      <c r="U18" s="264">
        <f>+$S$18</f>
        <v>0</v>
      </c>
      <c r="V18" s="146">
        <f>+S19</f>
        <v>0</v>
      </c>
      <c r="W18" s="264">
        <f>$S$18-$S$19</f>
        <v>0</v>
      </c>
      <c r="X18" s="264">
        <f>$T$18/2</f>
        <v>0</v>
      </c>
      <c r="Y18" s="178"/>
      <c r="Z18" s="386">
        <v>7</v>
      </c>
      <c r="AA18" s="350" t="str">
        <f>+R18</f>
        <v xml:space="preserve">MAIRE Gaël </v>
      </c>
      <c r="AB18" s="263"/>
      <c r="AC18" s="258">
        <f>IF($AB$18&gt;$AB$19,2,0)</f>
        <v>0</v>
      </c>
      <c r="AD18" s="258">
        <f>+$AB$18</f>
        <v>0</v>
      </c>
      <c r="AE18" s="308">
        <f>+AB19</f>
        <v>0</v>
      </c>
      <c r="AF18" s="258">
        <f>$AB$18-$AB$19</f>
        <v>0</v>
      </c>
      <c r="AG18" s="258">
        <f>$AC$18/2</f>
        <v>0</v>
      </c>
      <c r="AH18"/>
      <c r="AI18" s="337" t="str">
        <f>IF($J$18&lt;&gt;"",$I$18," ")</f>
        <v xml:space="preserve"> </v>
      </c>
      <c r="AJ18" s="319">
        <f>SUM(IFERROR(VLOOKUP(AI18,$I$18:$K$23,3,0),0),IFERROR(VLOOKUP(AI18,$R$18:$T$23,3,0),0),IFERROR(VLOOKUP(AI18,$AA$18:$AC$23,3,0),0))</f>
        <v>0</v>
      </c>
      <c r="AK18" s="320">
        <f>SUM(IFERROR(VLOOKUP(AI18,$I$18:$N$23,6,0),0),IFERROR(VLOOKUP(AI18,$R$18:$W$23,6,0),0),IFERROR(VLOOKUP(AI18,$AA$18:$AF$23,6,0),0))</f>
        <v>0</v>
      </c>
      <c r="AL18" s="319">
        <f>SUM(IFERROR(VLOOKUP(AI18,$I$18:$M$23,4,0),0),IFERROR(VLOOKUP(AI18,$R$18:$V$23,4,0),0),IFERROR(VLOOKUP(AI18,$AA$18:$AE$23,4,0),0))</f>
        <v>0</v>
      </c>
      <c r="AM18" s="314">
        <f>SUM(IFERROR(VLOOKUP(AI18,$I$18:$M$23,5,0),0),IFERROR(VLOOKUP(AI18,$R$18:$V$23,5,0),0),IFERROR(VLOOKUP(AI18,$AA$18:$AE$23,5,0),0))</f>
        <v>0</v>
      </c>
      <c r="AN18" s="320">
        <f t="shared" si="4"/>
        <v>0</v>
      </c>
      <c r="AO18" s="327">
        <v>0</v>
      </c>
      <c r="AP18" s="1"/>
      <c r="AQ18" s="8">
        <f>IF(OR(AI18="",AJ18="",AK18="",AL18="",AO18=""),"",RANK(AJ18,$AJ$18:$AJ$23)+SUM(-$AK18/1000)-(+$AL18/10000)-(+AO18/100000)+COUNTIF(AI$18:AI$23,"&lt;="&amp;AI18+1)/10000000000+ROW()/100000000000)</f>
        <v>2.00000000018</v>
      </c>
      <c r="AR18" s="30">
        <f>IF(AI18="","",SMALL(AQ$18:AQ$23,ROWS(AJ$18:AJ18)))</f>
        <v>0.99270000022000005</v>
      </c>
      <c r="AS18" s="172"/>
      <c r="AT18" s="322">
        <f>IF(AR18="","",1)</f>
        <v>1</v>
      </c>
      <c r="AU18" s="359" t="str">
        <f>IF(OR(AI18="",AJ18=""),"",INDEX($AI$18:$AI$23,MATCH(AR18,$AQ$18:$AQ$23,0)))</f>
        <v xml:space="preserve">MAIRE Gaël </v>
      </c>
      <c r="AV18" s="274">
        <f>IF(OR(AI18="",AJ18=""),"",INDEX($AJ$18:$AJ$23,MATCH(AR18,$AQ$18:$AQ$23,0)))</f>
        <v>2</v>
      </c>
      <c r="AW18" s="282">
        <f>IF(OR(AI18="",AK18=""),"",INDEX($AK$18:$AK$23,MATCH(AR18,$AQ$18:$AQ$23,0)))</f>
        <v>6</v>
      </c>
      <c r="AX18" s="274">
        <f>IF(OR(AI18="",AL18=""),"",INDEX($AL$18:$AL$23,MATCH(AR18,$AQ$18:$AQ$23,0)))</f>
        <v>13</v>
      </c>
      <c r="AY18" s="299">
        <f>IF(OR(AI18="",AM18=""),"",INDEX($AM$18:$AM$23,MATCH(AR18,$AQ$18:$AQ$23,0)))</f>
        <v>7</v>
      </c>
      <c r="AZ18" s="303">
        <f>IF(OR(AI18="",AO18=""),"",INDEX($AO$18:$AO$22,MATCH(AR18,$AQ$18:$AQ$22,0)))</f>
        <v>0</v>
      </c>
      <c r="BA18" s="7"/>
      <c r="BB18" s="365" t="str">
        <f>I18</f>
        <v>GAILLARD Jean Louis</v>
      </c>
      <c r="BC18" s="288">
        <f t="array" ref="BC18">SUM($BD$18:$BF$18)</f>
        <v>0</v>
      </c>
      <c r="BD18" s="247">
        <f t="array" ref="BD18">IF(OR($I$18:$I$19="OFFICE"),0,IF($J$18&gt;$J$19,1,0))</f>
        <v>0</v>
      </c>
      <c r="BE18" s="248">
        <f t="array" ref="BE18">IF(OR($R$20:$R$21="OFFICE"),0,IF($S$20&gt;$S$21,1,0))</f>
        <v>0</v>
      </c>
      <c r="BF18" s="249">
        <f t="array" ref="BF18">IF(OR($AA$22:$AA$23="OFFICE"),0,IF($AB$22&gt;$AB$23,1,0))</f>
        <v>0</v>
      </c>
    </row>
    <row r="19" spans="1:66" s="6" customFormat="1" ht="27.95" customHeight="1" thickBot="1">
      <c r="A19" s="216">
        <v>13</v>
      </c>
      <c r="B19" s="373" t="s">
        <v>140</v>
      </c>
      <c r="C19" s="373" t="s">
        <v>156</v>
      </c>
      <c r="D19" s="371">
        <v>15</v>
      </c>
      <c r="F19" s="389"/>
      <c r="G19" s="262">
        <v>12</v>
      </c>
      <c r="H19" s="396"/>
      <c r="I19" s="345" t="str">
        <f>IF(ISNA(MATCH(G19,$D$7:$D$30,0)),"",INDEX($B$7:$B$30,MATCH(G19,$D$7:$D$30,0)))</f>
        <v>MARION Fabrice</v>
      </c>
      <c r="J19" s="265"/>
      <c r="K19" s="264">
        <f>IF($J$19&gt;$J$18,2,0)</f>
        <v>0</v>
      </c>
      <c r="L19" s="264">
        <f>+$J$19</f>
        <v>0</v>
      </c>
      <c r="M19" s="308">
        <f>+J18</f>
        <v>0</v>
      </c>
      <c r="N19" s="264">
        <f>$J$19-$J$18</f>
        <v>0</v>
      </c>
      <c r="O19" s="264">
        <f>$K$19/2</f>
        <v>0</v>
      </c>
      <c r="P19" s="169"/>
      <c r="Q19" s="396"/>
      <c r="R19" s="349" t="str">
        <f>+I19</f>
        <v>MARION Fabrice</v>
      </c>
      <c r="S19" s="265"/>
      <c r="T19" s="264">
        <f>IF($S$19&gt;$S$18,2,0)</f>
        <v>0</v>
      </c>
      <c r="U19" s="264">
        <f>+$S$19</f>
        <v>0</v>
      </c>
      <c r="V19" s="146">
        <f>+S18</f>
        <v>0</v>
      </c>
      <c r="W19" s="264">
        <f>$S$19-$S$18</f>
        <v>0</v>
      </c>
      <c r="X19" s="264">
        <f>$T$19/2</f>
        <v>0</v>
      </c>
      <c r="Y19" s="178"/>
      <c r="Z19" s="396"/>
      <c r="AA19" s="354" t="str">
        <f>+R22</f>
        <v>DEMARS Mickael</v>
      </c>
      <c r="AB19" s="265"/>
      <c r="AC19" s="258">
        <f>IF($AB$19&gt;$AB$18,2,0)</f>
        <v>0</v>
      </c>
      <c r="AD19" s="258">
        <f>+$AB$19</f>
        <v>0</v>
      </c>
      <c r="AE19" s="308">
        <f>+AB18</f>
        <v>0</v>
      </c>
      <c r="AF19" s="258">
        <f>$AB$19-$AB$18</f>
        <v>0</v>
      </c>
      <c r="AG19" s="258">
        <f>$AC$19/2</f>
        <v>0</v>
      </c>
      <c r="AH19"/>
      <c r="AI19" s="335" t="str">
        <f>IF($J$19&lt;&gt;"",$I$19," ")</f>
        <v xml:space="preserve"> </v>
      </c>
      <c r="AJ19" s="213">
        <f t="shared" ref="AJ19:AJ22" si="23">SUM(IFERROR(VLOOKUP(AI19,$I$18:$K$23,3,0),0),IFERROR(VLOOKUP(AI19,$R$18:$T$23,3,0),0),IFERROR(VLOOKUP(AI19,$AA$18:$AC$23,3,0),0))</f>
        <v>0</v>
      </c>
      <c r="AK19" s="209">
        <f t="shared" ref="AK19:AK22" si="24">SUM(IFERROR(VLOOKUP(AI19,$I$18:$N$23,6,0),0),IFERROR(VLOOKUP(AI19,$R$18:$W$23,6,0),0),IFERROR(VLOOKUP(AI19,$AA$18:$AF$23,6,0),0))</f>
        <v>0</v>
      </c>
      <c r="AL19" s="213">
        <f t="shared" ref="AL19:AL22" si="25">SUM(IFERROR(VLOOKUP(AI19,$I$18:$M$23,4,0),0),IFERROR(VLOOKUP(AI19,$R$18:$V$23,4,0),0),IFERROR(VLOOKUP(AI19,$AA$18:$AE$23,4,0),0))</f>
        <v>0</v>
      </c>
      <c r="AM19" s="313">
        <f t="shared" ref="AM19:AM22" si="26">SUM(IFERROR(VLOOKUP(AI19,$I$18:$M$23,5,0),0),IFERROR(VLOOKUP(AI19,$R$18:$V$23,5,0),0),IFERROR(VLOOKUP(AI19,$AA$18:$AE$23,5,0),0))</f>
        <v>0</v>
      </c>
      <c r="AN19" s="209">
        <f t="shared" si="4"/>
        <v>0</v>
      </c>
      <c r="AO19" s="325">
        <v>0</v>
      </c>
      <c r="AP19" s="1"/>
      <c r="AQ19" s="8">
        <f t="shared" ref="AQ19:AQ22" si="27">IF(OR(AI19="",AJ19="",AK19="",AL19="",AO19=""),"",RANK(AJ19,$AJ$18:$AJ$23)+SUM(-$AK19/1000)-(+$AL19/10000)-(+AO19/100000)+COUNTIF(AI$18:AI$23,"&lt;="&amp;AI19+1)/10000000000+ROW()/100000000000)</f>
        <v>2.00000000019</v>
      </c>
      <c r="AR19" s="9">
        <f>IF(AI19="","",SMALL(AQ$18:AQ$23,ROWS(AJ$18:AJ19)))</f>
        <v>2.00000000018</v>
      </c>
      <c r="AS19" s="172"/>
      <c r="AT19" s="287">
        <f>IF(AR19="","",IF(AND(AV18=AV19,AX18=AX19,AY18=AY19,AW19=AW18,AZ19=AZ18),AT18,$AT$6+1))</f>
        <v>2</v>
      </c>
      <c r="AU19" s="360" t="str">
        <f>IF(OR(AI19="",AJ19=""),"",INDEX($AI$18:$AI$23,MATCH(AR19,$AQ$18:$AQ$23,0)))</f>
        <v xml:space="preserve"> </v>
      </c>
      <c r="AV19" s="276">
        <f>IF(OR(AI19="",AJ19=""),"",INDEX($AJ$18:$AJ$23,MATCH(AR19,$AQ$18:$AQ$23,0)))</f>
        <v>0</v>
      </c>
      <c r="AW19" s="292">
        <f>IF(OR(AI19="",AK19=""),"",INDEX($AK$18:$AK$23,MATCH(AR19,$AQ$18:$AQ$23,0)))</f>
        <v>0</v>
      </c>
      <c r="AX19" s="276">
        <f>IF(OR(AI19="",AL19=""),"",INDEX($AL$18:$AL$23,MATCH(AR19,$AQ$18:$AQ$23,0)))</f>
        <v>0</v>
      </c>
      <c r="AY19" s="300">
        <f>IF(OR(AI19="",AM19=""),"",INDEX($AM$18:$AM$23,MATCH(AR19,$AQ$18:$AQ$23,0)))</f>
        <v>0</v>
      </c>
      <c r="AZ19" s="304">
        <f t="shared" ref="AZ19:AZ22" si="28">IF(OR(AI19="",AO19=""),"",INDEX($AO$18:$AO$22,MATCH(AR19,$AQ$18:$AQ$22,0)))</f>
        <v>0</v>
      </c>
      <c r="BA19" s="7"/>
      <c r="BB19" s="366" t="str">
        <f>+I19</f>
        <v>MARION Fabrice</v>
      </c>
      <c r="BC19" s="289">
        <f t="array" ref="BC19">SUM($BD$19:$BF$19)</f>
        <v>0</v>
      </c>
      <c r="BD19" s="250">
        <f t="array" ref="BD19">IF(OR($I$18:$I$19="OFFICE"),0,IF($J$19&gt;$J$18,1,0))</f>
        <v>0</v>
      </c>
      <c r="BE19" s="165">
        <f t="array" ref="BE19">IF(OR($R$18:$R$19="OFFICE"),0,IF($S$18&lt;$S$19,1,0))</f>
        <v>0</v>
      </c>
      <c r="BF19" s="251">
        <f t="array" ref="BF19">IF(OR($AA$20:$AA$21="OFFICE"),0,IF($AB$20&gt;$AB$21,1,0))</f>
        <v>0</v>
      </c>
    </row>
    <row r="20" spans="1:66" s="6" customFormat="1" ht="27.95" customHeight="1">
      <c r="A20" s="216">
        <v>14</v>
      </c>
      <c r="B20" s="373" t="s">
        <v>141</v>
      </c>
      <c r="C20" s="372" t="s">
        <v>157</v>
      </c>
      <c r="D20" s="371">
        <v>11</v>
      </c>
      <c r="F20" s="389"/>
      <c r="G20" s="262">
        <v>13</v>
      </c>
      <c r="H20" s="386">
        <v>6</v>
      </c>
      <c r="I20" s="344" t="str">
        <f>IF(ISNA(MATCH(G20,$D$7:$D$30,0)),"",INDEX($B$7:$B$30,MATCH(G20,$D$7:$D$30,0)))</f>
        <v>DEMARS Mickael</v>
      </c>
      <c r="J20" s="263"/>
      <c r="K20" s="264">
        <f>IF($J$20&gt;$J$21,2,0)</f>
        <v>0</v>
      </c>
      <c r="L20" s="264">
        <f>+$J$20</f>
        <v>0</v>
      </c>
      <c r="M20" s="308">
        <f>+J21</f>
        <v>0</v>
      </c>
      <c r="N20" s="264">
        <f>$J$20-$J$21</f>
        <v>0</v>
      </c>
      <c r="O20" s="264">
        <f>$K$20/2</f>
        <v>0</v>
      </c>
      <c r="P20" s="169"/>
      <c r="Q20" s="386">
        <v>4</v>
      </c>
      <c r="R20" s="350" t="str">
        <f>+I18</f>
        <v>GAILLARD Jean Louis</v>
      </c>
      <c r="S20" s="263"/>
      <c r="T20" s="264">
        <f>IF($S$20&gt;$S$21,2,0)</f>
        <v>0</v>
      </c>
      <c r="U20" s="264">
        <f>+$S$20</f>
        <v>0</v>
      </c>
      <c r="V20" s="146">
        <f>+S21</f>
        <v>0</v>
      </c>
      <c r="W20" s="264">
        <f>$S$20-$S$21</f>
        <v>0</v>
      </c>
      <c r="X20" s="264">
        <f>$T$20/2</f>
        <v>0</v>
      </c>
      <c r="Y20" s="178"/>
      <c r="Z20" s="386">
        <v>8</v>
      </c>
      <c r="AA20" s="350" t="str">
        <f>+R19</f>
        <v>MARION Fabrice</v>
      </c>
      <c r="AB20" s="263"/>
      <c r="AC20" s="258">
        <f>IF($AB$20&gt;$AB$21,2,0)</f>
        <v>0</v>
      </c>
      <c r="AD20" s="258">
        <f>+$AB$20</f>
        <v>0</v>
      </c>
      <c r="AE20" s="308">
        <f>+AB21</f>
        <v>0</v>
      </c>
      <c r="AF20" s="258">
        <f>$AB$20-$AB$21</f>
        <v>0</v>
      </c>
      <c r="AG20" s="258">
        <f>$AC$20/2</f>
        <v>0</v>
      </c>
      <c r="AH20"/>
      <c r="AI20" s="335" t="str">
        <f>IF($J$20&lt;&gt;"",$I$20," ")</f>
        <v xml:space="preserve"> </v>
      </c>
      <c r="AJ20" s="213">
        <f t="shared" si="23"/>
        <v>0</v>
      </c>
      <c r="AK20" s="209">
        <f t="shared" si="24"/>
        <v>0</v>
      </c>
      <c r="AL20" s="213">
        <f t="shared" si="25"/>
        <v>0</v>
      </c>
      <c r="AM20" s="313">
        <f t="shared" si="26"/>
        <v>0</v>
      </c>
      <c r="AN20" s="209">
        <f t="shared" si="4"/>
        <v>0</v>
      </c>
      <c r="AO20" s="325">
        <v>0</v>
      </c>
      <c r="AP20" s="1"/>
      <c r="AQ20" s="8">
        <f t="shared" si="27"/>
        <v>2.0000000002</v>
      </c>
      <c r="AR20" s="9">
        <f>IF(AI20="","",SMALL(AQ$18:AQ$23,ROWS(AJ$18:AJ20)))</f>
        <v>2.00000000019</v>
      </c>
      <c r="AS20" s="172"/>
      <c r="AT20" s="287">
        <f>IF(AR20="","",IF(AND(AV19=AV20,AX19=AX20,AY19=AY20,AW20=AW19,AZ20=AZ19),AT19,$AT$6+2))</f>
        <v>2</v>
      </c>
      <c r="AU20" s="360" t="str">
        <f>IF(OR(AI20="",AJ20=""),"",INDEX($AI$18:$AI$23,MATCH(AR20,$AQ$18:$AQ$23,0)))</f>
        <v xml:space="preserve"> </v>
      </c>
      <c r="AV20" s="276">
        <f>IF(OR(AI20="",AJ20=""),"",INDEX($AJ$18:$AJ$23,MATCH(AR20,$AQ$18:$AQ$23,0)))</f>
        <v>0</v>
      </c>
      <c r="AW20" s="292">
        <f t="shared" ref="AW20:AW22" si="29">IF(OR(AI20="",AK20=""),"",INDEX($AK$18:$AK$23,MATCH(AR20,$AQ$18:$AQ$23,0)))</f>
        <v>0</v>
      </c>
      <c r="AX20" s="276">
        <f>IF(OR(AI20="",AL20=""),"",INDEX($AL$18:$AL$23,MATCH(AR20,$AQ$18:$AQ$23,0)))</f>
        <v>0</v>
      </c>
      <c r="AY20" s="300">
        <f>IF(OR(AI20="",AM20=""),"",INDEX($AM$18:$AM$23,MATCH(AR20,$AQ$18:$AQ$23,0)))</f>
        <v>0</v>
      </c>
      <c r="AZ20" s="304">
        <f t="shared" si="28"/>
        <v>0</v>
      </c>
      <c r="BA20" s="7"/>
      <c r="BB20" s="366" t="str">
        <f>+I20</f>
        <v>DEMARS Mickael</v>
      </c>
      <c r="BC20" s="289">
        <f t="array" ref="BC20">SUM($BD$20:$BF$20)</f>
        <v>0</v>
      </c>
      <c r="BD20" s="250">
        <f t="array" ref="BD20">IF(OR($I$20:$I$21="OFFICE"),0,IF($J$20&gt;$J$21,1,0))</f>
        <v>0</v>
      </c>
      <c r="BE20" s="165">
        <f t="array" ref="BE20">IF(OR($R$22:$R$23="OFFICE"),0,IF($S$22&gt;$S$23,1,0))</f>
        <v>0</v>
      </c>
      <c r="BF20" s="251">
        <f t="array" ref="BF20">IF(OR($AA$18:$AA$19="OFFICE"),0,IF($AB$19&gt;$AB$18,1,0))</f>
        <v>0</v>
      </c>
    </row>
    <row r="21" spans="1:66" s="6" customFormat="1" ht="27.95" customHeight="1" thickBot="1">
      <c r="A21" s="216">
        <v>15</v>
      </c>
      <c r="B21" s="373" t="s">
        <v>142</v>
      </c>
      <c r="C21" s="373" t="s">
        <v>158</v>
      </c>
      <c r="D21" s="371">
        <v>5</v>
      </c>
      <c r="F21" s="389"/>
      <c r="G21" s="262">
        <v>14</v>
      </c>
      <c r="H21" s="396"/>
      <c r="I21" s="345" t="str">
        <f>IF(ISNA(MATCH(G21,$D$7:$D$30,0)),"",INDEX($B$7:$B$30,MATCH(G21,$D$7:$D$30,0)))</f>
        <v>REYNAUD Corentin</v>
      </c>
      <c r="J21" s="266"/>
      <c r="K21" s="264">
        <f>IF($J$21&gt;$J$20,2,0)</f>
        <v>0</v>
      </c>
      <c r="L21" s="264">
        <f>+$J$21</f>
        <v>0</v>
      </c>
      <c r="M21" s="308">
        <f>+J20</f>
        <v>0</v>
      </c>
      <c r="N21" s="264">
        <f>$J$21-$J$20</f>
        <v>0</v>
      </c>
      <c r="O21" s="264">
        <f>$K$21/2</f>
        <v>0</v>
      </c>
      <c r="P21" s="169"/>
      <c r="Q21" s="387"/>
      <c r="R21" s="351" t="str">
        <f>+I21</f>
        <v>REYNAUD Corentin</v>
      </c>
      <c r="S21" s="266"/>
      <c r="T21" s="264">
        <f>IF($S$21&gt;$S$20,2,0)</f>
        <v>0</v>
      </c>
      <c r="U21" s="264">
        <f>+$S$21</f>
        <v>0</v>
      </c>
      <c r="V21" s="146">
        <f>+S20</f>
        <v>0</v>
      </c>
      <c r="W21" s="264">
        <f>$S$21-$S$20</f>
        <v>0</v>
      </c>
      <c r="X21" s="264">
        <f>$T$21/2</f>
        <v>0</v>
      </c>
      <c r="Y21" s="178"/>
      <c r="Z21" s="387"/>
      <c r="AA21" s="355" t="str">
        <f>+R21</f>
        <v>REYNAUD Corentin</v>
      </c>
      <c r="AB21" s="265"/>
      <c r="AC21" s="258">
        <f>IF($AB$21&gt;$AB$20,2,0)</f>
        <v>0</v>
      </c>
      <c r="AD21" s="258">
        <f>+$AB$21</f>
        <v>0</v>
      </c>
      <c r="AE21" s="308">
        <f>+AB20</f>
        <v>0</v>
      </c>
      <c r="AF21" s="258">
        <f>$AB$21-$AB$20</f>
        <v>0</v>
      </c>
      <c r="AG21" s="258">
        <f>$AC$21/2</f>
        <v>0</v>
      </c>
      <c r="AH21"/>
      <c r="AI21" s="335" t="str">
        <f>IF($J$21&lt;&gt;"",$I$21," ")</f>
        <v xml:space="preserve"> </v>
      </c>
      <c r="AJ21" s="213">
        <f t="shared" si="23"/>
        <v>0</v>
      </c>
      <c r="AK21" s="209">
        <f t="shared" si="24"/>
        <v>0</v>
      </c>
      <c r="AL21" s="213">
        <f t="shared" si="25"/>
        <v>0</v>
      </c>
      <c r="AM21" s="313">
        <f t="shared" si="26"/>
        <v>0</v>
      </c>
      <c r="AN21" s="209">
        <f t="shared" si="4"/>
        <v>0</v>
      </c>
      <c r="AO21" s="325">
        <v>0</v>
      </c>
      <c r="AP21" s="1"/>
      <c r="AQ21" s="8">
        <f t="shared" si="27"/>
        <v>2.00000000021</v>
      </c>
      <c r="AR21" s="9">
        <f>IF(AI21="","",SMALL(AQ$18:AQ$23,ROWS(AJ$18:AJ21)))</f>
        <v>2.0000000002</v>
      </c>
      <c r="AS21" s="172"/>
      <c r="AT21" s="287">
        <f>IF(AR21="","",IF(AND(AV20=AV21,AX20=AX21,AY20=AY21,AW21=AW20,AZ21=AZ20),AT20,$AT$6+3))</f>
        <v>2</v>
      </c>
      <c r="AU21" s="361" t="str">
        <f>IF(OR(AI21="",AJ21=""),"",INDEX($AI$18:$AI$23,MATCH(AR21,$AQ$18:$AQ$23,0)))</f>
        <v xml:space="preserve"> </v>
      </c>
      <c r="AV21" s="277">
        <f>IF(OR(AI21="",AJ21=""),"",INDEX($AJ$18:$AJ$23,MATCH(AR21,$AQ$18:$AQ$23,0)))</f>
        <v>0</v>
      </c>
      <c r="AW21" s="293">
        <f t="shared" si="29"/>
        <v>0</v>
      </c>
      <c r="AX21" s="277">
        <f>IF(OR(AI21="",AL21=""),"",INDEX($AL$18:$AL$23,MATCH(AR21,$AQ$18:$AQ$23,0)))</f>
        <v>0</v>
      </c>
      <c r="AY21" s="301">
        <f>IF(OR(AI21="",AM21=""),"",INDEX($AM$18:$AM$23,MATCH(AR21,$AQ$18:$AQ$23,0)))</f>
        <v>0</v>
      </c>
      <c r="AZ21" s="305">
        <f t="shared" si="28"/>
        <v>0</v>
      </c>
      <c r="BA21" s="7"/>
      <c r="BB21" s="367" t="str">
        <f>+I21</f>
        <v>REYNAUD Corentin</v>
      </c>
      <c r="BC21" s="290">
        <f t="array" ref="BC21">SUM($BD$21:$BF$21)</f>
        <v>0</v>
      </c>
      <c r="BD21" s="250">
        <f t="array" ref="BD21">IF(OR($I$20:$I$21="OFFICE"),0,IF($J$20&lt;$J$21,1,0))</f>
        <v>0</v>
      </c>
      <c r="BE21" s="252">
        <f t="array" ref="BE21">IF(OR($R$20:$R$21="OFFICE"),0,IF($S$20&lt;$S$21,1,0))</f>
        <v>0</v>
      </c>
      <c r="BF21" s="253">
        <f t="array" ref="BF21">IF(OR($AA$20:$AA$21="OFFICE"),0,IF($AB$20&lt;$AB$21,1,0))</f>
        <v>0</v>
      </c>
    </row>
    <row r="22" spans="1:66" s="6" customFormat="1" ht="27.95" customHeight="1" thickBot="1">
      <c r="A22" s="216">
        <v>16</v>
      </c>
      <c r="B22" s="372" t="s">
        <v>143</v>
      </c>
      <c r="C22" s="372" t="s">
        <v>159</v>
      </c>
      <c r="D22" s="371">
        <v>18</v>
      </c>
      <c r="F22" s="389"/>
      <c r="G22" s="391">
        <v>15</v>
      </c>
      <c r="H22" s="393"/>
      <c r="I22" s="346" t="str">
        <f>IF(ISNA(MATCH(G22,$D$7:$D$30,0)),"",INDEX($B$7:$B$30,MATCH(G22,$D$7:$D$30,0)))</f>
        <v xml:space="preserve">MAIRE Gaël </v>
      </c>
      <c r="J22" s="263">
        <v>13</v>
      </c>
      <c r="K22" s="264">
        <f>IF($J$22&gt;$J$23,2,0)</f>
        <v>2</v>
      </c>
      <c r="L22" s="264">
        <f>+$J$22</f>
        <v>13</v>
      </c>
      <c r="M22" s="308">
        <f>+J23</f>
        <v>7</v>
      </c>
      <c r="N22" s="264">
        <f>$J$22-$J$23</f>
        <v>6</v>
      </c>
      <c r="O22" s="264">
        <v>0</v>
      </c>
      <c r="P22" s="169"/>
      <c r="Q22" s="395"/>
      <c r="R22" s="352" t="str">
        <f>+I20</f>
        <v>DEMARS Mickael</v>
      </c>
      <c r="S22" s="263">
        <v>13</v>
      </c>
      <c r="T22" s="264">
        <f>IF($S$22&gt;$S$23,2,0)</f>
        <v>2</v>
      </c>
      <c r="U22" s="264">
        <f>+$S$22</f>
        <v>13</v>
      </c>
      <c r="V22" s="146">
        <f>+S23</f>
        <v>7</v>
      </c>
      <c r="W22" s="264">
        <f>$S$22-$S$23</f>
        <v>6</v>
      </c>
      <c r="X22" s="264">
        <v>0</v>
      </c>
      <c r="Y22" s="178"/>
      <c r="Z22" s="395"/>
      <c r="AA22" s="356" t="str">
        <f>+R20</f>
        <v>GAILLARD Jean Louis</v>
      </c>
      <c r="AB22" s="263">
        <v>13</v>
      </c>
      <c r="AC22" s="258">
        <f>IF($AB$22&gt;$AB$23,2,0)</f>
        <v>2</v>
      </c>
      <c r="AD22" s="258">
        <f>+$AB$22</f>
        <v>13</v>
      </c>
      <c r="AE22" s="308">
        <f>+AB23</f>
        <v>7</v>
      </c>
      <c r="AF22" s="258">
        <f>$AB$22-$AB$23</f>
        <v>6</v>
      </c>
      <c r="AG22" s="173">
        <v>0</v>
      </c>
      <c r="AH22"/>
      <c r="AI22" s="336" t="str">
        <f>IF($J$22&lt;&gt;"",$I$22," ")</f>
        <v xml:space="preserve">MAIRE Gaël </v>
      </c>
      <c r="AJ22" s="316">
        <f t="shared" si="23"/>
        <v>2</v>
      </c>
      <c r="AK22" s="317">
        <f t="shared" si="24"/>
        <v>6</v>
      </c>
      <c r="AL22" s="316">
        <f t="shared" si="25"/>
        <v>13</v>
      </c>
      <c r="AM22" s="318">
        <f t="shared" si="26"/>
        <v>7</v>
      </c>
      <c r="AN22" s="317">
        <f t="shared" si="4"/>
        <v>0</v>
      </c>
      <c r="AO22" s="326">
        <v>0</v>
      </c>
      <c r="AP22" s="1"/>
      <c r="AQ22" s="8">
        <f t="shared" si="27"/>
        <v>0.99270000022000005</v>
      </c>
      <c r="AR22" s="9">
        <f>IF(AI22="","",SMALL(AQ$18:AQ$23,ROWS(AJ$18:AJ22)))</f>
        <v>2.00000000021</v>
      </c>
      <c r="AS22" s="172"/>
      <c r="AT22" s="343">
        <f>IF(AR22="","",IF(AND(AV21=AV22,AX21=AX22,AY21=AY22,AW22=AW21,AZ22=AZ21),AT21,$AT$6+4))</f>
        <v>2</v>
      </c>
      <c r="AU22" s="362" t="str">
        <f>IF(OR(AI22="",AJ22=""),"",INDEX($AI$18:$AI$23,MATCH(AR22,$AQ$18:$AQ$23,0)))</f>
        <v xml:space="preserve"> </v>
      </c>
      <c r="AV22" s="278">
        <f>IF(OR(AI22="",AJ22=""),"",INDEX($AJ$18:$AJ$23,MATCH(AR22,$AQ$18:$AQ$23,0)))</f>
        <v>0</v>
      </c>
      <c r="AW22" s="298">
        <f t="shared" si="29"/>
        <v>0</v>
      </c>
      <c r="AX22" s="278">
        <f>IF(OR(AI22="",AL22=""),"",INDEX($AL$18:$AL$23,MATCH(AR22,$AQ$18:$AQ$23,0)))</f>
        <v>0</v>
      </c>
      <c r="AY22" s="302">
        <f>IF(OR(AI22="",AM22=""),"",INDEX($AM$18:$AM$23,MATCH(AR22,$AQ$18:$AQ$23,0)))</f>
        <v>0</v>
      </c>
      <c r="AZ22" s="306">
        <f t="shared" si="28"/>
        <v>0</v>
      </c>
      <c r="BA22" s="7"/>
      <c r="BB22" s="368" t="str">
        <f>+I22</f>
        <v xml:space="preserve">MAIRE Gaël </v>
      </c>
      <c r="BC22" s="291">
        <f t="array" ref="BC22">SUM($BD$22:$BF$22)</f>
        <v>0</v>
      </c>
      <c r="BD22" s="254">
        <f t="array" ref="BD22">IF(OR($I$22:$I$23="OFFICE"),0,IF($J$22&gt;$J$23,1,0))</f>
        <v>0</v>
      </c>
      <c r="BE22" s="255">
        <f t="array" ref="BE22">IF(OR($R$18:$R$19="OFFICE"),0,IF($S$18&gt;$S$19,1,0))</f>
        <v>0</v>
      </c>
      <c r="BF22" s="256">
        <f t="array" ref="BF22">IF(OR($AA$18:$AA$19="OFFICE"),0,IF($AB$18&gt;$AB$19,1,0))</f>
        <v>0</v>
      </c>
    </row>
    <row r="23" spans="1:66" s="6" customFormat="1" ht="27.95" customHeight="1" thickBot="1">
      <c r="A23" s="216">
        <v>17</v>
      </c>
      <c r="B23" s="372" t="s">
        <v>144</v>
      </c>
      <c r="C23" s="372" t="s">
        <v>160</v>
      </c>
      <c r="D23" s="371">
        <v>12</v>
      </c>
      <c r="F23" s="390"/>
      <c r="G23" s="392"/>
      <c r="H23" s="394"/>
      <c r="I23" s="272" t="s">
        <v>84</v>
      </c>
      <c r="J23" s="265">
        <v>7</v>
      </c>
      <c r="K23" s="268">
        <f>IF($J$23&gt;$J$22,2,0)</f>
        <v>0</v>
      </c>
      <c r="L23" s="268">
        <f>+$J$23</f>
        <v>7</v>
      </c>
      <c r="M23" s="308">
        <f>+J22</f>
        <v>13</v>
      </c>
      <c r="N23" s="268">
        <f>$J$23-$J$22</f>
        <v>-6</v>
      </c>
      <c r="O23" s="268"/>
      <c r="P23" s="270"/>
      <c r="Q23" s="394"/>
      <c r="R23" s="272" t="s">
        <v>84</v>
      </c>
      <c r="S23" s="265">
        <v>7</v>
      </c>
      <c r="T23" s="268">
        <v>0</v>
      </c>
      <c r="U23" s="268">
        <f>+$S$23</f>
        <v>7</v>
      </c>
      <c r="V23" s="146">
        <f>+S22</f>
        <v>13</v>
      </c>
      <c r="W23" s="268">
        <f>$S$23-$S$22</f>
        <v>-6</v>
      </c>
      <c r="X23" s="268"/>
      <c r="Y23" s="270"/>
      <c r="Z23" s="394"/>
      <c r="AA23" s="272" t="s">
        <v>84</v>
      </c>
      <c r="AB23" s="265">
        <v>7</v>
      </c>
      <c r="AC23" s="260">
        <v>0</v>
      </c>
      <c r="AD23" s="260">
        <f>+$AB$23</f>
        <v>7</v>
      </c>
      <c r="AE23" s="308">
        <f>+AB22</f>
        <v>13</v>
      </c>
      <c r="AF23" s="260">
        <f>$AB$23-$AB$22</f>
        <v>-6</v>
      </c>
      <c r="AG23" s="174"/>
      <c r="AH23"/>
      <c r="AI23" s="328" t="str">
        <f>IF($J$22&lt;&gt;"",$I$23," ")</f>
        <v>OFFICE</v>
      </c>
      <c r="AJ23" s="329">
        <f t="shared" ref="AJ23" si="30">SUM(IFERROR(VLOOKUP(AI23,$I$18:$K$23,3,0),0),IFERROR(VLOOKUP(AI23,$R$18:$T$23,3,0),0),IFERROR(VLOOKUP(AI23,$AA$18:$AC$23,3,0),0))</f>
        <v>0</v>
      </c>
      <c r="AK23" s="330">
        <f t="shared" ref="AK23" si="31">SUM(IFERROR(VLOOKUP(AI23,$I$18:$N$23,6,0),0),IFERROR(VLOOKUP(AI23,$R$18:$W$23,6,0),0),IFERROR(VLOOKUP(AI23,$AA$18:$AF$23,6,0),0))</f>
        <v>-18</v>
      </c>
      <c r="AL23" s="329">
        <f t="shared" ref="AL23" si="32">SUM(IFERROR(VLOOKUP(AI23,$I$18:$M$23,4,0),0),IFERROR(VLOOKUP(AI23,$R$18:$V$23,4,0),0),IFERROR(VLOOKUP(AI23,$AA$18:$AE$23,4,0),0))</f>
        <v>21</v>
      </c>
      <c r="AM23" s="332">
        <f t="shared" ref="AM23" si="33">SUM(IFERROR(VLOOKUP(AI23,$I$18:$M$23,5,0),0),IFERROR(VLOOKUP(AI23,$R$18:$V$23,5,0),0),IFERROR(VLOOKUP(AI23,$AA$18:$AE$23,5,0),0))</f>
        <v>39</v>
      </c>
      <c r="AN23" s="330">
        <f t="shared" si="4"/>
        <v>0</v>
      </c>
      <c r="AO23" s="338"/>
      <c r="AP23" s="31"/>
      <c r="AQ23" s="8" t="str">
        <f t="shared" si="22"/>
        <v/>
      </c>
      <c r="AR23" s="175"/>
      <c r="AS23" s="175"/>
      <c r="AT23" s="281"/>
      <c r="AU23" s="363"/>
      <c r="AV23" s="280"/>
      <c r="AW23" s="280"/>
      <c r="AX23" s="280"/>
      <c r="AY23" s="280"/>
      <c r="AZ23" s="280"/>
      <c r="BA23" s="7"/>
      <c r="BB23" s="369"/>
      <c r="BC23" s="257">
        <f>SUM($BC$18:$BC$22)</f>
        <v>0</v>
      </c>
      <c r="BD23" s="257">
        <f>SUM($BD$18:$BD$22)</f>
        <v>0</v>
      </c>
      <c r="BE23" s="257">
        <f>SUM($BE$18:$BE$22)</f>
        <v>0</v>
      </c>
      <c r="BF23" s="257">
        <f>SUM($BF$18:$BF$22)</f>
        <v>0</v>
      </c>
    </row>
    <row r="24" spans="1:66" s="6" customFormat="1" ht="27.95" customHeight="1">
      <c r="A24" s="216">
        <v>18</v>
      </c>
      <c r="B24" s="378" t="s">
        <v>145</v>
      </c>
      <c r="C24" s="372" t="s">
        <v>161</v>
      </c>
      <c r="D24" s="371">
        <v>6</v>
      </c>
      <c r="F24" s="388">
        <v>4</v>
      </c>
      <c r="G24" s="261">
        <v>16</v>
      </c>
      <c r="H24" s="386">
        <v>7</v>
      </c>
      <c r="I24" s="344" t="str">
        <f>IF(ISNA(MATCH(G24,$D$7:$D$30,0)),"",INDEX($B$7:$B$30,MATCH(G24,$D$7:$D$30,0)))</f>
        <v>VEYRE Cyril</v>
      </c>
      <c r="J24" s="263"/>
      <c r="K24" s="264">
        <f>IF($J$24&gt;$J$25,2,0)</f>
        <v>0</v>
      </c>
      <c r="L24" s="264">
        <f>+$J$24</f>
        <v>0</v>
      </c>
      <c r="M24" s="308">
        <f>+J25</f>
        <v>0</v>
      </c>
      <c r="N24" s="264">
        <f>$J$24-$J$25</f>
        <v>0</v>
      </c>
      <c r="O24" s="264">
        <f>$K$24/2</f>
        <v>0</v>
      </c>
      <c r="P24" s="169"/>
      <c r="Q24" s="387">
        <v>5</v>
      </c>
      <c r="R24" s="353" t="str">
        <f>+I28</f>
        <v>COMTE Denis</v>
      </c>
      <c r="S24" s="263"/>
      <c r="T24" s="264">
        <f>IF($S$24&gt;$S$25,2,0)</f>
        <v>0</v>
      </c>
      <c r="U24" s="264">
        <f>+$S$24</f>
        <v>0</v>
      </c>
      <c r="V24" s="146">
        <f>+S25</f>
        <v>0</v>
      </c>
      <c r="W24" s="264">
        <f>$S$24-$S$25</f>
        <v>0</v>
      </c>
      <c r="X24" s="264">
        <f>$T$24/2</f>
        <v>0</v>
      </c>
      <c r="Y24" s="178"/>
      <c r="Z24" s="387">
        <v>1</v>
      </c>
      <c r="AA24" s="358" t="str">
        <f>+R24</f>
        <v>COMTE Denis</v>
      </c>
      <c r="AB24" s="263"/>
      <c r="AC24" s="258">
        <f>IF($AB$24&gt;$AB$25,2,0)</f>
        <v>0</v>
      </c>
      <c r="AD24" s="258">
        <f>+$AB$24</f>
        <v>0</v>
      </c>
      <c r="AE24" s="308">
        <f>+AB25</f>
        <v>0</v>
      </c>
      <c r="AF24" s="258">
        <f>$AB$24-$AB$25</f>
        <v>0</v>
      </c>
      <c r="AG24" s="258">
        <f>$AC$24/2</f>
        <v>0</v>
      </c>
      <c r="AH24"/>
      <c r="AI24" s="337" t="str">
        <f>IF($J$24&lt;&gt;"",$I$24," ")</f>
        <v xml:space="preserve"> </v>
      </c>
      <c r="AJ24" s="319">
        <f>SUM(IFERROR(VLOOKUP(AI24,$I$24:$K$29,3,0),0),IFERROR(VLOOKUP(AI24,$R$24:$T$29,3,0),0),IFERROR(VLOOKUP(AI24,$AA$24:$AC$29,3,0),0))</f>
        <v>0</v>
      </c>
      <c r="AK24" s="320">
        <f>SUM(IFERROR(VLOOKUP(AI24,$I$24:$N$29,6,0),0),IFERROR(VLOOKUP(AI24,$R$24:$W$29,6,0),0),IFERROR(VLOOKUP(AI24,$AA$24:$AF$29,6,0),0))</f>
        <v>0</v>
      </c>
      <c r="AL24" s="319">
        <f>SUM(IFERROR(VLOOKUP(AI24,$I$24:$M$29,4,0),0),IFERROR(VLOOKUP(AI24,$R$24:$V$29,4,0),0),IFERROR(VLOOKUP(AI24,$AA$24:$AE$29,4,0),0))</f>
        <v>0</v>
      </c>
      <c r="AM24" s="314">
        <f>SUM(IFERROR(VLOOKUP(AI24,$I$24:$M$29,5,0),0),IFERROR(VLOOKUP(AI24,$R$24:$V$29,5,0),0),IFERROR(VLOOKUP(AI24,$AA$24:$AE$29,5,0),0))</f>
        <v>0</v>
      </c>
      <c r="AN24" s="320">
        <f t="shared" si="4"/>
        <v>0</v>
      </c>
      <c r="AO24" s="327">
        <v>0</v>
      </c>
      <c r="AP24" s="1"/>
      <c r="AQ24" s="8">
        <f>IF(OR(AI24="",AJ24="",AK24="",AL24="",AO24=""),"",RANK(AJ24,$AJ$24:$AJ$29)+SUM(-$AK24/1000)-(+$AL24/10000)-(+AO24/100000)+COUNTIF(AI$24:AI$29,"&lt;="&amp;AI24+1)/10000000000+ROW()/100000000000)</f>
        <v>2.00000000024</v>
      </c>
      <c r="AR24" s="30">
        <f>IF(AI24="","",SMALL(AQ$24:AQ$29,ROWS(AJ$24:AJ24)))</f>
        <v>0.99270000028000005</v>
      </c>
      <c r="AS24" s="172"/>
      <c r="AT24" s="273">
        <f>IF(AR24="","",1)</f>
        <v>1</v>
      </c>
      <c r="AU24" s="359" t="str">
        <f>IF(OR(AI24="",AJ24=""),"",INDEX($AI$24:$AI$29,MATCH(AR24,$AQ$24:$AQ$29,0)))</f>
        <v>COMTE Denis</v>
      </c>
      <c r="AV24" s="274">
        <f>IF(OR(AI24="",AJ24=""),"",INDEX($AJ$24:$AJ$29,MATCH(AR24,$AQ$24:$AQ$29,0)))</f>
        <v>2</v>
      </c>
      <c r="AW24" s="274">
        <f>IF(OR(AI24="",AK24=""),"",INDEX($AK$24:$AK$30,MATCH(AR24,$AQ$24:$AQ$29,0)))</f>
        <v>6</v>
      </c>
      <c r="AX24" s="282">
        <f>IF(OR(AI24="",AL24=""),"",INDEX($AL$24:$AL$30,MATCH(AR24,$AQ$24:$AQ$29,0)))</f>
        <v>13</v>
      </c>
      <c r="AY24" s="299">
        <f>IF(OR(AI24="",AM24=""),"",INDEX($AM$24:$AM$30,MATCH(AR24,$AQ$24:$AQ$29,0)))</f>
        <v>7</v>
      </c>
      <c r="AZ24" s="342">
        <f>IF(OR(AI24="",AO24=""),"",INDEX($AO$24:$AO$28,MATCH(AR24,$AQ$24:$AQ$28,0)))</f>
        <v>0</v>
      </c>
      <c r="BA24" s="7"/>
      <c r="BB24" s="365" t="str">
        <f>I24</f>
        <v>VEYRE Cyril</v>
      </c>
      <c r="BC24" s="288">
        <f t="array" ref="BC24">SUM($BD$24:$BF$24)</f>
        <v>0</v>
      </c>
      <c r="BD24" s="247">
        <f t="array" ref="BD24">IF(OR($I$24:$I$25="OFFICE"),0,IF($J$24&gt;$J$25,1,0))</f>
        <v>0</v>
      </c>
      <c r="BE24" s="248">
        <f t="array" ref="BE24">IF(OR($R$26:$R$27="OFFICE"),0,IF($S$26&gt;$S$27,1,0))</f>
        <v>0</v>
      </c>
      <c r="BF24" s="249">
        <f t="array" ref="BF24">IF(OR($AA$28:$AA$29="OFFICE"),0,IF($AB$28&gt;$AB$29,1,0))</f>
        <v>0</v>
      </c>
    </row>
    <row r="25" spans="1:66" s="6" customFormat="1" ht="27.95" customHeight="1" thickBot="1">
      <c r="A25" s="216">
        <v>19</v>
      </c>
      <c r="B25" s="373" t="s">
        <v>146</v>
      </c>
      <c r="C25" s="372" t="s">
        <v>166</v>
      </c>
      <c r="D25" s="371">
        <v>4</v>
      </c>
      <c r="F25" s="389"/>
      <c r="G25" s="262">
        <v>17</v>
      </c>
      <c r="H25" s="396"/>
      <c r="I25" s="345" t="str">
        <f>IF(ISNA(MATCH(G25,$D$7:$D$30,0)),"",INDEX($B$7:$B$30,MATCH(G25,$D$7:$D$30,0)))</f>
        <v>DURANTON Stéphane</v>
      </c>
      <c r="J25" s="265"/>
      <c r="K25" s="264">
        <f>IF($J$25&gt;$J$24,2,0)</f>
        <v>0</v>
      </c>
      <c r="L25" s="264">
        <f>+$J$25</f>
        <v>0</v>
      </c>
      <c r="M25" s="308">
        <f>+J24</f>
        <v>0</v>
      </c>
      <c r="N25" s="264">
        <f>$J$25-$J$24</f>
        <v>0</v>
      </c>
      <c r="O25" s="264">
        <f>$K$25/2</f>
        <v>0</v>
      </c>
      <c r="P25" s="169"/>
      <c r="Q25" s="396"/>
      <c r="R25" s="349" t="str">
        <f>+I25</f>
        <v>DURANTON Stéphane</v>
      </c>
      <c r="S25" s="265"/>
      <c r="T25" s="264">
        <f>IF($S$25&gt;$S$24,2,0)</f>
        <v>0</v>
      </c>
      <c r="U25" s="264">
        <f>+$S$25</f>
        <v>0</v>
      </c>
      <c r="V25" s="146">
        <f>+S24</f>
        <v>0</v>
      </c>
      <c r="W25" s="264">
        <f>$S$25-$S$24</f>
        <v>0</v>
      </c>
      <c r="X25" s="264">
        <f>$T$25/2</f>
        <v>0</v>
      </c>
      <c r="Y25" s="178"/>
      <c r="Z25" s="396"/>
      <c r="AA25" s="354" t="str">
        <f>+R28</f>
        <v>MOURZELAS Martial</v>
      </c>
      <c r="AB25" s="265"/>
      <c r="AC25" s="258">
        <f>IF($AB$25&gt;$AB$24,2,0)</f>
        <v>0</v>
      </c>
      <c r="AD25" s="258">
        <f>+$AB$25</f>
        <v>0</v>
      </c>
      <c r="AE25" s="308">
        <f>+AB24</f>
        <v>0</v>
      </c>
      <c r="AF25" s="258">
        <f>$AB$25-$AB$24</f>
        <v>0</v>
      </c>
      <c r="AG25" s="258">
        <f>$AC$25/2</f>
        <v>0</v>
      </c>
      <c r="AH25"/>
      <c r="AI25" s="335" t="str">
        <f>IF($J$25&lt;&gt;"",$I$25," ")</f>
        <v xml:space="preserve"> </v>
      </c>
      <c r="AJ25" s="213">
        <f t="shared" ref="AJ25:AJ28" si="34">SUM(IFERROR(VLOOKUP(AI25,$I$24:$K$29,3,0),0),IFERROR(VLOOKUP(AI25,$R$24:$T$29,3,0),0),IFERROR(VLOOKUP(AI25,$AA$24:$AC$29,3,0),0))</f>
        <v>0</v>
      </c>
      <c r="AK25" s="209">
        <f t="shared" ref="AK25:AK28" si="35">SUM(IFERROR(VLOOKUP(AI25,$I$24:$N$29,6,0),0),IFERROR(VLOOKUP(AI25,$R$24:$W$29,6,0),0),IFERROR(VLOOKUP(AI25,$AA$24:$AF$29,6,0),0))</f>
        <v>0</v>
      </c>
      <c r="AL25" s="213">
        <f t="shared" ref="AL25:AL28" si="36">SUM(IFERROR(VLOOKUP(AI25,$I$24:$M$29,4,0),0),IFERROR(VLOOKUP(AI25,$R$24:$V$29,4,0),0),IFERROR(VLOOKUP(AI25,$AA$24:$AE$29,4,0),0))</f>
        <v>0</v>
      </c>
      <c r="AM25" s="313">
        <f t="shared" ref="AM25:AM28" si="37">SUM(IFERROR(VLOOKUP(AI25,$I$24:$M$29,5,0),0),IFERROR(VLOOKUP(AI25,$R$24:$V$29,5,0),0),IFERROR(VLOOKUP(AI25,$AA$24:$AE$29,5,0),0))</f>
        <v>0</v>
      </c>
      <c r="AN25" s="209">
        <f t="shared" si="4"/>
        <v>0</v>
      </c>
      <c r="AO25" s="325">
        <v>0</v>
      </c>
      <c r="AP25" s="1"/>
      <c r="AQ25" s="8">
        <f t="shared" ref="AQ25:AQ28" si="38">IF(OR(AI25="",AJ25="",AK25="",AL25="",AO25=""),"",RANK(AJ25,$AJ$24:$AJ$29)+SUM(-$AK25/1000)-(+$AL25/10000)-(+AO25/100000)+COUNTIF(AI$24:AI$29,"&lt;="&amp;AI25+1)/10000000000+ROW()/100000000000)</f>
        <v>2.00000000025</v>
      </c>
      <c r="AR25" s="9">
        <f>IF(AI25="","",SMALL(AQ$24:AQ$29,ROWS(AJ$24:AJ25)))</f>
        <v>2.00000000024</v>
      </c>
      <c r="AS25" s="172"/>
      <c r="AT25" s="275">
        <f>IF(AR25="","",IF(AND(AV24=AV25,AX24=AX25,AY24=AY25,AW25=AW24,AZ25=AZ24),AT24,$AT$6+1))</f>
        <v>2</v>
      </c>
      <c r="AU25" s="360" t="str">
        <f>IF(OR(AI25="",AJ25=""),"",INDEX($AI$24:$AI$29,MATCH(AR25,$AQ$24:$AQ$29,0)))</f>
        <v xml:space="preserve"> </v>
      </c>
      <c r="AV25" s="276">
        <f>IF(OR(AI25="",AJ25=""),"",INDEX($AJ$24:$AJ$29,MATCH(AR25,$AQ$24:$AQ$29,0)))</f>
        <v>0</v>
      </c>
      <c r="AW25" s="276">
        <f>IF(OR(AI25="",AK25=""),"",INDEX($AK$24:$AK$30,MATCH(AR25,$AQ$24:$AQ$29,0)))</f>
        <v>0</v>
      </c>
      <c r="AX25" s="283">
        <f>IF(OR(AI25="",AL25=""),"",INDEX($AL$24:$AL$30,MATCH(AR25,$AQ$24:$AQ$29,0)))</f>
        <v>0</v>
      </c>
      <c r="AY25" s="300">
        <f>IF(OR(AI25="",AM25=""),"",INDEX($AM$24:$AM$30,MATCH(AR25,$AQ$24:$AQ$29,0)))</f>
        <v>0</v>
      </c>
      <c r="AZ25" s="304">
        <f>IF(OR(AI25="",AO25=""),"",INDEX($AO$24:$AO$28,MATCH(AR25,$AQ$24:$AQ$28,0)))</f>
        <v>0</v>
      </c>
      <c r="BA25" s="7"/>
      <c r="BB25" s="366" t="str">
        <f>+I25</f>
        <v>DURANTON Stéphane</v>
      </c>
      <c r="BC25" s="289">
        <f t="array" ref="BC25">SUM($BD$25:$BF$25)</f>
        <v>0</v>
      </c>
      <c r="BD25" s="250">
        <f t="array" ref="BD25">IF(OR($I$24:$I$25="OFFICE"),0,IF($J$25&gt;$J$24,1,0))</f>
        <v>0</v>
      </c>
      <c r="BE25" s="165">
        <f t="array" ref="BE25">IF(OR($R$24:$R$25="OFFICE"),0,IF($S$24&lt;$S$25,1,0))</f>
        <v>0</v>
      </c>
      <c r="BF25" s="251">
        <f t="array" ref="BF25">IF(OR($AA$26:$AA$27="OFFICE"),0,IF($AB$26&gt;$AB$27,1,0))</f>
        <v>0</v>
      </c>
    </row>
    <row r="26" spans="1:66" s="6" customFormat="1" ht="27.95" customHeight="1">
      <c r="A26" s="216">
        <v>20</v>
      </c>
      <c r="B26" s="373" t="s">
        <v>147</v>
      </c>
      <c r="C26" s="373" t="s">
        <v>162</v>
      </c>
      <c r="D26" s="371">
        <v>2</v>
      </c>
      <c r="F26" s="389"/>
      <c r="G26" s="262">
        <v>18</v>
      </c>
      <c r="H26" s="386">
        <v>8</v>
      </c>
      <c r="I26" s="344" t="str">
        <f>IF(ISNA(MATCH(G26,$D$7:$D$30,0)),"",INDEX($B$7:$B$30,MATCH(G26,$D$7:$D$30,0)))</f>
        <v>MOURZELAS Martial</v>
      </c>
      <c r="J26" s="263"/>
      <c r="K26" s="264">
        <f>IF($J$26&gt;$J$27,2,0)</f>
        <v>0</v>
      </c>
      <c r="L26" s="264">
        <f>+$J$26</f>
        <v>0</v>
      </c>
      <c r="M26" s="308">
        <f>+J27</f>
        <v>0</v>
      </c>
      <c r="N26" s="264">
        <f>$J$26-$J$27</f>
        <v>0</v>
      </c>
      <c r="O26" s="264">
        <f>$K$26/2</f>
        <v>0</v>
      </c>
      <c r="P26" s="169"/>
      <c r="Q26" s="386">
        <v>6</v>
      </c>
      <c r="R26" s="350" t="str">
        <f>+I24</f>
        <v>VEYRE Cyril</v>
      </c>
      <c r="S26" s="263"/>
      <c r="T26" s="264">
        <f>IF($S$26&gt;$S$27,2,0)</f>
        <v>0</v>
      </c>
      <c r="U26" s="264">
        <f>+$S$26</f>
        <v>0</v>
      </c>
      <c r="V26" s="146">
        <f>+S27</f>
        <v>0</v>
      </c>
      <c r="W26" s="264">
        <f>$S$26-$S$27</f>
        <v>0</v>
      </c>
      <c r="X26" s="264">
        <f>$T$26/2</f>
        <v>0</v>
      </c>
      <c r="Y26" s="178"/>
      <c r="Z26" s="386">
        <v>2</v>
      </c>
      <c r="AA26" s="350" t="str">
        <f>+R25</f>
        <v>DURANTON Stéphane</v>
      </c>
      <c r="AB26" s="263"/>
      <c r="AC26" s="258">
        <f>IF($AB$26&gt;$AB$27,2,0)</f>
        <v>0</v>
      </c>
      <c r="AD26" s="258">
        <f>+$AB$26</f>
        <v>0</v>
      </c>
      <c r="AE26" s="308">
        <f>+AB27</f>
        <v>0</v>
      </c>
      <c r="AF26" s="258">
        <f>$AB$26-$AB$27</f>
        <v>0</v>
      </c>
      <c r="AG26" s="258">
        <f>$AC$26/2</f>
        <v>0</v>
      </c>
      <c r="AH26"/>
      <c r="AI26" s="335" t="str">
        <f>IF($J$26&lt;&gt;"",$I$26," ")</f>
        <v xml:space="preserve"> </v>
      </c>
      <c r="AJ26" s="213">
        <f t="shared" si="34"/>
        <v>0</v>
      </c>
      <c r="AK26" s="209">
        <f t="shared" si="35"/>
        <v>0</v>
      </c>
      <c r="AL26" s="213">
        <f t="shared" si="36"/>
        <v>0</v>
      </c>
      <c r="AM26" s="313">
        <f t="shared" si="37"/>
        <v>0</v>
      </c>
      <c r="AN26" s="209">
        <f t="shared" si="4"/>
        <v>0</v>
      </c>
      <c r="AO26" s="325">
        <v>0</v>
      </c>
      <c r="AP26" s="1"/>
      <c r="AQ26" s="8">
        <f t="shared" si="38"/>
        <v>2.00000000026</v>
      </c>
      <c r="AR26" s="9">
        <f>IF(AI26="","",SMALL(AQ$24:AQ$29,ROWS(AJ$24:AJ26)))</f>
        <v>2.00000000025</v>
      </c>
      <c r="AS26" s="172"/>
      <c r="AT26" s="275">
        <f>IF(AR26="","",IF(AND(AV25=AV26,AX25=AX26,AY25=AY26,AW26=AW25,AZ26=AZ25),AT25,$AT$6+2))</f>
        <v>2</v>
      </c>
      <c r="AU26" s="360" t="str">
        <f>IF(OR(AI26="",AJ26=""),"",INDEX($AI$24:$AI$29,MATCH(AR26,$AQ$24:$AQ$29,0)))</f>
        <v xml:space="preserve"> </v>
      </c>
      <c r="AV26" s="276">
        <f>IF(OR(AI26="",AJ26=""),"",INDEX($AJ$24:$AJ$29,MATCH(AR26,$AQ$24:$AQ$29,0)))</f>
        <v>0</v>
      </c>
      <c r="AW26" s="276">
        <f>IF(OR(AI26="",AK26=""),"",INDEX($AK$24:$AK$30,MATCH(AR26,$AQ$24:$AQ$29,0)))</f>
        <v>0</v>
      </c>
      <c r="AX26" s="283">
        <f>IF(OR(AI26="",AL26=""),"",INDEX($AL$24:$AL$30,MATCH(AR26,$AQ$24:$AQ$29,0)))</f>
        <v>0</v>
      </c>
      <c r="AY26" s="300">
        <f>IF(OR(AI26="",AM26=""),"",INDEX($AM$24:$AM$30,MATCH(AR26,$AQ$24:$AQ$29,0)))</f>
        <v>0</v>
      </c>
      <c r="AZ26" s="304">
        <f>IF(OR(AI26="",AO26=""),"",INDEX($AO$24:$AO$28,MATCH(AR26,$AQ$24:$AQ$28,0)))</f>
        <v>0</v>
      </c>
      <c r="BA26" s="7"/>
      <c r="BB26" s="366" t="str">
        <f>+I26</f>
        <v>MOURZELAS Martial</v>
      </c>
      <c r="BC26" s="289">
        <f t="array" ref="BC26">SUM($BD$26:$BF$26)</f>
        <v>0</v>
      </c>
      <c r="BD26" s="250">
        <f t="array" ref="BD26">IF(OR($I$26:$I$27="OFFICE"),0,IF($J$26&gt;$J$27,1,0))</f>
        <v>0</v>
      </c>
      <c r="BE26" s="165">
        <f t="array" ref="BE26">IF(OR($R$28:$R$29="OFFICE"),0,IF($S$28&gt;$S$29,1,0))</f>
        <v>0</v>
      </c>
      <c r="BF26" s="251">
        <f t="array" ref="BF26">IF(OR($AA$24:$AA$25="OFFICE"),0,IF($AB$25&gt;$AB$24,1,0))</f>
        <v>0</v>
      </c>
    </row>
    <row r="27" spans="1:66" s="6" customFormat="1" ht="27.95" customHeight="1" thickBot="1">
      <c r="B27"/>
      <c r="C27"/>
      <c r="F27" s="389"/>
      <c r="G27" s="262">
        <v>19</v>
      </c>
      <c r="H27" s="396"/>
      <c r="I27" s="345" t="str">
        <f>IF(ISNA(MATCH(G27,$D$7:$D$30,0)),"",INDEX($B$7:$B$30,MATCH(G27,$D$7:$D$30,0)))</f>
        <v>RIOUFREYT MAXIME</v>
      </c>
      <c r="J27" s="266"/>
      <c r="K27" s="264">
        <f>IF($J$27&gt;$J$26,2,0)</f>
        <v>0</v>
      </c>
      <c r="L27" s="264">
        <f>+$J$27</f>
        <v>0</v>
      </c>
      <c r="M27" s="308">
        <f>+J26</f>
        <v>0</v>
      </c>
      <c r="N27" s="264">
        <f>$J$27-$J$26</f>
        <v>0</v>
      </c>
      <c r="O27" s="264">
        <f>$K$27/2</f>
        <v>0</v>
      </c>
      <c r="P27" s="169"/>
      <c r="Q27" s="387"/>
      <c r="R27" s="351" t="str">
        <f>+I27</f>
        <v>RIOUFREYT MAXIME</v>
      </c>
      <c r="S27" s="266"/>
      <c r="T27" s="264">
        <f>IF($S$27&gt;$S$26,2,0)</f>
        <v>0</v>
      </c>
      <c r="U27" s="264">
        <f>+$S$27</f>
        <v>0</v>
      </c>
      <c r="V27" s="146">
        <f>+S26</f>
        <v>0</v>
      </c>
      <c r="W27" s="264">
        <f>$S$27-$S$26</f>
        <v>0</v>
      </c>
      <c r="X27" s="264">
        <f>$T$27/2</f>
        <v>0</v>
      </c>
      <c r="Y27" s="178"/>
      <c r="Z27" s="387"/>
      <c r="AA27" s="355" t="str">
        <f>+R27</f>
        <v>RIOUFREYT MAXIME</v>
      </c>
      <c r="AB27" s="265"/>
      <c r="AC27" s="258">
        <f>IF($AB$27&gt;$AB$26,2,0)</f>
        <v>0</v>
      </c>
      <c r="AD27" s="258">
        <f>+$AB$27</f>
        <v>0</v>
      </c>
      <c r="AE27" s="308">
        <f>+AB26</f>
        <v>0</v>
      </c>
      <c r="AF27" s="258">
        <f>$AB$27-$AB$26</f>
        <v>0</v>
      </c>
      <c r="AG27" s="258">
        <f>$AC$27/2</f>
        <v>0</v>
      </c>
      <c r="AH27"/>
      <c r="AI27" s="335" t="str">
        <f>IF($J$27&lt;&gt;"",$I$27," ")</f>
        <v xml:space="preserve"> </v>
      </c>
      <c r="AJ27" s="213">
        <f t="shared" si="34"/>
        <v>0</v>
      </c>
      <c r="AK27" s="209">
        <f t="shared" si="35"/>
        <v>0</v>
      </c>
      <c r="AL27" s="213">
        <f t="shared" si="36"/>
        <v>0</v>
      </c>
      <c r="AM27" s="313">
        <f t="shared" si="37"/>
        <v>0</v>
      </c>
      <c r="AN27" s="209">
        <f t="shared" si="4"/>
        <v>0</v>
      </c>
      <c r="AO27" s="325">
        <v>0</v>
      </c>
      <c r="AP27" s="1"/>
      <c r="AQ27" s="8">
        <f t="shared" si="38"/>
        <v>2.00000000027</v>
      </c>
      <c r="AR27" s="9">
        <f>IF(AI27="","",SMALL(AQ$24:AQ$29,ROWS(AJ$24:AJ27)))</f>
        <v>2.00000000026</v>
      </c>
      <c r="AS27" s="172"/>
      <c r="AT27" s="275">
        <f>IF(AR27="","",IF(AND(AV26=AV27,AX26=AX27,AY26=AY27,AW27=AW26,AZ27=AZ26),AT26,$AT$6+3))</f>
        <v>2</v>
      </c>
      <c r="AU27" s="361" t="str">
        <f>IF(OR(AI27="",AJ27=""),"",INDEX($AI$24:$AI$29,MATCH(AR27,$AQ$24:$AQ$29,0)))</f>
        <v xml:space="preserve"> </v>
      </c>
      <c r="AV27" s="277">
        <f>IF(OR(AI27="",AJ27=""),"",INDEX($AJ$24:$AJ$29,MATCH(AR27,$AQ$24:$AQ$29,0)))</f>
        <v>0</v>
      </c>
      <c r="AW27" s="277">
        <f>IF(OR(AI27="",AK27=""),"",INDEX($AK$24:$AK$30,MATCH(AR27,$AQ$24:$AQ$29,0)))</f>
        <v>0</v>
      </c>
      <c r="AX27" s="284">
        <f>IF(OR(AI27="",AL27=""),"",INDEX($AL$24:$AL$30,MATCH(AR27,$AQ$24:$AQ$29,0)))</f>
        <v>0</v>
      </c>
      <c r="AY27" s="301">
        <f>IF(OR(AI27="",AM27=""),"",INDEX($AM$24:$AM$30,MATCH(AR27,$AQ$24:$AQ$29,0)))</f>
        <v>0</v>
      </c>
      <c r="AZ27" s="305">
        <f>IF(OR(AI27="",AO27=""),"",INDEX($AO$24:$AO$28,MATCH(AR27,$AQ$24:$AQ$28,0)))</f>
        <v>0</v>
      </c>
      <c r="BA27" s="7"/>
      <c r="BB27" s="367" t="str">
        <f>+I27</f>
        <v>RIOUFREYT MAXIME</v>
      </c>
      <c r="BC27" s="290">
        <f t="array" ref="BC27">SUM($BD$27:$BF$27)</f>
        <v>0</v>
      </c>
      <c r="BD27" s="250">
        <f t="array" ref="BD27">IF(OR($I$26:$I$27="OFFICE"),0,IF($J$26&lt;$J$27,1,0))</f>
        <v>0</v>
      </c>
      <c r="BE27" s="252">
        <f t="array" ref="BE27">IF(OR($R$26:$R$27="OFFICE"),0,IF($S$26&lt;$S$27,1,0))</f>
        <v>0</v>
      </c>
      <c r="BF27" s="253">
        <f t="array" ref="BF27">IF(OR($AA$26:$AA$27="OFFICE"),0,IF($AB$26&lt;$AB$27,1,0))</f>
        <v>0</v>
      </c>
    </row>
    <row r="28" spans="1:66" s="6" customFormat="1" ht="27.95" customHeight="1" thickBot="1">
      <c r="B28"/>
      <c r="C28"/>
      <c r="F28" s="389"/>
      <c r="G28" s="391">
        <v>20</v>
      </c>
      <c r="H28" s="393"/>
      <c r="I28" s="346" t="str">
        <f>IF(ISNA(MATCH(G28,$D$7:$D$30,0)),"",INDEX($B$7:$B$30,MATCH(G28,$D$7:$D$30,0)))</f>
        <v>COMTE Denis</v>
      </c>
      <c r="J28" s="263">
        <v>13</v>
      </c>
      <c r="K28" s="271">
        <f>IF($J$28&gt;$J$29,2,0)</f>
        <v>2</v>
      </c>
      <c r="L28" s="264">
        <f>+$J$28</f>
        <v>13</v>
      </c>
      <c r="M28" s="308">
        <f>+J29</f>
        <v>7</v>
      </c>
      <c r="N28" s="264">
        <f>$J$28-$J$29</f>
        <v>6</v>
      </c>
      <c r="O28" s="264">
        <v>0</v>
      </c>
      <c r="P28" s="169"/>
      <c r="Q28" s="395"/>
      <c r="R28" s="352" t="str">
        <f>+I26</f>
        <v>MOURZELAS Martial</v>
      </c>
      <c r="S28" s="263">
        <v>13</v>
      </c>
      <c r="T28" s="264">
        <f>IF($S$28&gt;$S$29,2,0)</f>
        <v>2</v>
      </c>
      <c r="U28" s="264">
        <f>+$S$28</f>
        <v>13</v>
      </c>
      <c r="V28" s="146">
        <f>+S29</f>
        <v>7</v>
      </c>
      <c r="W28" s="264">
        <f>$S$28-$S$29</f>
        <v>6</v>
      </c>
      <c r="X28" s="264">
        <v>0</v>
      </c>
      <c r="Y28" s="178"/>
      <c r="Z28" s="395"/>
      <c r="AA28" s="356" t="str">
        <f>+R26</f>
        <v>VEYRE Cyril</v>
      </c>
      <c r="AB28" s="263">
        <v>13</v>
      </c>
      <c r="AC28" s="258">
        <f>IF($AB$28&gt;$AB$29,2,0)</f>
        <v>2</v>
      </c>
      <c r="AD28" s="258">
        <f>+$AB$28</f>
        <v>13</v>
      </c>
      <c r="AE28" s="308">
        <f>+AB29</f>
        <v>7</v>
      </c>
      <c r="AF28" s="258">
        <f>$AB$28-$AB$29</f>
        <v>6</v>
      </c>
      <c r="AG28" s="173">
        <v>0</v>
      </c>
      <c r="AH28"/>
      <c r="AI28" s="336" t="str">
        <f>IF($J$28&lt;&gt;"",$I$28," ")</f>
        <v>COMTE Denis</v>
      </c>
      <c r="AJ28" s="316">
        <f t="shared" si="34"/>
        <v>2</v>
      </c>
      <c r="AK28" s="317">
        <f t="shared" si="35"/>
        <v>6</v>
      </c>
      <c r="AL28" s="316">
        <f t="shared" si="36"/>
        <v>13</v>
      </c>
      <c r="AM28" s="318">
        <f t="shared" si="37"/>
        <v>7</v>
      </c>
      <c r="AN28" s="317">
        <f t="shared" si="4"/>
        <v>0</v>
      </c>
      <c r="AO28" s="326">
        <v>0</v>
      </c>
      <c r="AP28" s="1"/>
      <c r="AQ28" s="8">
        <f t="shared" si="38"/>
        <v>0.99270000028000005</v>
      </c>
      <c r="AR28" s="9">
        <f>IF(AI28="","",SMALL(AQ$24:AQ$29,ROWS(AJ$24:AJ28)))</f>
        <v>2.00000000027</v>
      </c>
      <c r="AS28" s="172"/>
      <c r="AT28" s="285">
        <f>IF(AR28="","",IF(AND(AV27=AV28,AX27=AX28,AY27=AY28,AW28=AW27,AZ28=AZ27),AT27,$AT$6+4))</f>
        <v>2</v>
      </c>
      <c r="AU28" s="362" t="str">
        <f>IF(OR(AI28="",AJ28=""),"",INDEX($AI$24:$AI$29,MATCH(AR28,$AQ$24:$AQ$29,0)))</f>
        <v xml:space="preserve"> </v>
      </c>
      <c r="AV28" s="278">
        <f>IF(OR(AI28="",AJ28=""),"",INDEX($AJ$24:$AJ$29,MATCH(AR28,$AQ$24:$AQ$29,0)))</f>
        <v>0</v>
      </c>
      <c r="AW28" s="278">
        <f>IF(OR(AI28="",AK28=""),"",INDEX($AK$24:$AK$30,MATCH(AR28,$AQ$24:$AQ$29,0)))</f>
        <v>0</v>
      </c>
      <c r="AX28" s="286">
        <f>IF(OR(AI28="",AL28=""),"",INDEX($AL$24:$AL$30,MATCH(AR28,$AQ$24:$AQ$29,0)))</f>
        <v>0</v>
      </c>
      <c r="AY28" s="302">
        <f>IF(OR(AI28="",AM28=""),"",INDEX($AM$24:$AM$30,MATCH(AR28,$AQ$24:$AQ$29,0)))</f>
        <v>0</v>
      </c>
      <c r="AZ28" s="306">
        <f>IF(OR(AI28="",AO28=""),"",INDEX($AO$24:$AO$28,MATCH(AR28,$AQ$24:$AQ$28,0)))</f>
        <v>0</v>
      </c>
      <c r="BA28" s="7"/>
      <c r="BB28" s="368" t="str">
        <f>+I28</f>
        <v>COMTE Denis</v>
      </c>
      <c r="BC28" s="291">
        <f t="array" ref="BC28">SUM($BD$28:$BF$28)</f>
        <v>0</v>
      </c>
      <c r="BD28" s="254">
        <f t="array" ref="BD28">IF(OR($I$28:$I$29="OFFICE"),0,IF($J$28&gt;$J$29,1,0))</f>
        <v>0</v>
      </c>
      <c r="BE28" s="255">
        <f t="array" ref="BE28">IF(OR($R$24:$R$25="OFFICE"),0,IF($S$24&gt;$S$25,1,0))</f>
        <v>0</v>
      </c>
      <c r="BF28" s="256">
        <f t="array" ref="BF28">IF(OR($AA$24:$AA$25="OFFICE"),0,IF($AB$24&gt;$AB$25,1,0))</f>
        <v>0</v>
      </c>
    </row>
    <row r="29" spans="1:66" s="6" customFormat="1" ht="27.95" customHeight="1" thickBot="1">
      <c r="B29"/>
      <c r="C29"/>
      <c r="F29" s="390"/>
      <c r="G29" s="392"/>
      <c r="H29" s="394"/>
      <c r="I29" s="272" t="s">
        <v>84</v>
      </c>
      <c r="J29" s="265">
        <v>7</v>
      </c>
      <c r="K29" s="267">
        <f>IF($J$29&gt;$J$28,2,0)</f>
        <v>0</v>
      </c>
      <c r="L29" s="268">
        <f>+$J$29</f>
        <v>7</v>
      </c>
      <c r="M29" s="308">
        <f>+J28</f>
        <v>13</v>
      </c>
      <c r="N29" s="268">
        <f>$J$29-$J$28</f>
        <v>-6</v>
      </c>
      <c r="O29" s="268"/>
      <c r="P29" s="270"/>
      <c r="Q29" s="394"/>
      <c r="R29" s="272" t="s">
        <v>84</v>
      </c>
      <c r="S29" s="265">
        <v>7</v>
      </c>
      <c r="T29" s="268">
        <v>0</v>
      </c>
      <c r="U29" s="268">
        <f>+$S$29</f>
        <v>7</v>
      </c>
      <c r="V29" s="146">
        <f>+S28</f>
        <v>13</v>
      </c>
      <c r="W29" s="268">
        <f>$S$29-$S$28</f>
        <v>-6</v>
      </c>
      <c r="X29" s="268"/>
      <c r="Y29" s="270"/>
      <c r="Z29" s="394"/>
      <c r="AA29" s="272" t="s">
        <v>84</v>
      </c>
      <c r="AB29" s="265">
        <v>7</v>
      </c>
      <c r="AC29" s="260">
        <v>0</v>
      </c>
      <c r="AD29" s="260">
        <f>+$AB$29</f>
        <v>7</v>
      </c>
      <c r="AE29" s="308">
        <f>+AB28</f>
        <v>13</v>
      </c>
      <c r="AF29" s="260">
        <f>$AB$29-$AB$28</f>
        <v>-6</v>
      </c>
      <c r="AG29" s="174"/>
      <c r="AH29"/>
      <c r="AI29" s="328" t="str">
        <f>IF($J$28&lt;&gt;"",$I$29," ")</f>
        <v>OFFICE</v>
      </c>
      <c r="AJ29" s="331">
        <f t="shared" ref="AJ29" si="39">SUM(IFERROR(VLOOKUP(AI29,$I$24:$K$29,3,0),0),IFERROR(VLOOKUP(AI29,$R$24:$T$29,3,0),0),IFERROR(VLOOKUP(AI29,$AA$24:$AC$29,3,0),0))</f>
        <v>0</v>
      </c>
      <c r="AK29" s="330">
        <f t="shared" ref="AK29" si="40">SUM(IFERROR(VLOOKUP(AI29,$I$24:$N$29,6,0),0),IFERROR(VLOOKUP(AI29,$R$24:$W$29,6,0),0),IFERROR(VLOOKUP(AI29,$AA$24:$AF$29,6,0),0))</f>
        <v>-18</v>
      </c>
      <c r="AL29" s="329">
        <f t="shared" ref="AL29" si="41">SUM(IFERROR(VLOOKUP(AI29,$I$24:$M$29,4,0),0),IFERROR(VLOOKUP(AI29,$R$24:$V$29,4,0),0),IFERROR(VLOOKUP(AI29,$AA$24:$AE$29,4,0),0))</f>
        <v>21</v>
      </c>
      <c r="AM29" s="339">
        <f t="shared" ref="AM29" si="42">SUM(IFERROR(VLOOKUP(AI29,$I$24:$M$29,5,0),0),IFERROR(VLOOKUP(AI29,$R$24:$V$29,5,0),0),IFERROR(VLOOKUP(AI29,$AA$24:$AE$29,5,0),0))</f>
        <v>39</v>
      </c>
      <c r="AN29" s="340"/>
      <c r="AO29" s="341"/>
      <c r="AP29" s="31"/>
      <c r="AQ29" s="175"/>
      <c r="AR29" s="175"/>
      <c r="AS29" s="7"/>
      <c r="AT29" s="172"/>
      <c r="AU29" s="7"/>
      <c r="AV29" s="7"/>
      <c r="AW29" s="7"/>
      <c r="AX29" s="7"/>
      <c r="AY29" s="175"/>
      <c r="AZ29" s="7"/>
      <c r="BA29" s="7"/>
      <c r="BB29" s="7"/>
      <c r="BC29" s="176">
        <f>SUM($BC$24:$BC$28)</f>
        <v>0</v>
      </c>
      <c r="BD29" s="176">
        <f>SUM($BD$24:$BD$28)</f>
        <v>0</v>
      </c>
      <c r="BE29" s="176">
        <f>SUM($BE$24:$BE$28)</f>
        <v>0</v>
      </c>
      <c r="BF29" s="176">
        <f>SUM($BF$24:$BF$28)</f>
        <v>0</v>
      </c>
    </row>
    <row r="30" spans="1:66" s="178" customFormat="1" ht="23.25" customHeight="1">
      <c r="B30"/>
      <c r="C30"/>
      <c r="J30" s="170"/>
      <c r="L30" s="178">
        <f>SUM(L6:L29)</f>
        <v>80</v>
      </c>
      <c r="M30" s="180">
        <f>SUM(M6:M29)</f>
        <v>80</v>
      </c>
      <c r="N30" s="170">
        <f>SUM(N6:N29)</f>
        <v>0</v>
      </c>
      <c r="S30" s="170"/>
      <c r="U30" s="178">
        <f>SUM(U6:U29)</f>
        <v>80</v>
      </c>
      <c r="V30" s="170">
        <f>SUM(V6:V29)</f>
        <v>80</v>
      </c>
      <c r="W30" s="170">
        <f>SUM(W6:W29)</f>
        <v>0</v>
      </c>
      <c r="AB30" s="170"/>
      <c r="AD30" s="178">
        <f>SUM(AD6:AD29)</f>
        <v>80</v>
      </c>
      <c r="AE30" s="180">
        <f>SUM(AE6:AE29)</f>
        <v>80</v>
      </c>
      <c r="AF30" s="170"/>
      <c r="AH30"/>
      <c r="AJ30" s="180"/>
      <c r="AK30" s="323">
        <f>SUM(AK6:AK29)</f>
        <v>-48</v>
      </c>
      <c r="AL30" s="323">
        <f>SUM(AL6:AL29)</f>
        <v>136</v>
      </c>
      <c r="AM30" s="323">
        <f>SUM(AM6:AM29)</f>
        <v>184</v>
      </c>
      <c r="AO30" s="180"/>
      <c r="BC30" s="171"/>
      <c r="BD30" s="171"/>
      <c r="BE30" s="171"/>
      <c r="BF30" s="171">
        <v>1</v>
      </c>
    </row>
    <row r="31" spans="1:66" s="6" customFormat="1" ht="23.25" customHeight="1">
      <c r="B31"/>
      <c r="C31"/>
      <c r="M31" s="147"/>
      <c r="V31" s="312"/>
      <c r="AB31" s="179"/>
      <c r="AC31" s="179"/>
      <c r="AD31" s="179"/>
      <c r="AE31" s="309"/>
      <c r="AH31"/>
      <c r="AJ31" s="181"/>
      <c r="AK31" s="180"/>
      <c r="AL31" s="180"/>
      <c r="AM31" s="180"/>
      <c r="AO31" s="147"/>
      <c r="BB31" s="168"/>
      <c r="BC31" s="169">
        <f>SUM($BC$11+$BC$17+$BC$23+$BC$29)</f>
        <v>0</v>
      </c>
      <c r="BD31" s="171">
        <f>SUM($BD$11+$BD$17+$BD$23+$BD$29)</f>
        <v>0</v>
      </c>
      <c r="BE31" s="171">
        <f>SUM($BE$11+$BE$17+$BE$23+$BE$29)</f>
        <v>0</v>
      </c>
      <c r="BF31" s="171">
        <v>0</v>
      </c>
    </row>
    <row r="32" spans="1:66" s="6" customFormat="1" ht="21" customHeight="1">
      <c r="B32"/>
      <c r="C32"/>
      <c r="M32" s="147"/>
      <c r="V32" s="312"/>
      <c r="AE32" s="147"/>
      <c r="AH32"/>
      <c r="AI32" s="179"/>
      <c r="AJ32" s="181"/>
      <c r="AK32" s="181"/>
      <c r="AL32" s="181"/>
      <c r="AM32" s="181"/>
      <c r="AR32" s="147"/>
      <c r="AS32" s="147"/>
      <c r="AT32" s="147"/>
      <c r="AU32" s="147"/>
      <c r="AW32" s="147"/>
      <c r="BJ32" s="168"/>
      <c r="BK32" s="168"/>
      <c r="BL32" s="168"/>
      <c r="BM32" s="168"/>
      <c r="BN32" s="168"/>
    </row>
    <row r="33" spans="1:58" s="6" customFormat="1" ht="21.95" customHeight="1">
      <c r="M33" s="147"/>
      <c r="V33" s="312"/>
      <c r="AB33" s="179"/>
      <c r="AC33" s="179"/>
      <c r="AD33" s="179"/>
      <c r="AE33" s="309"/>
      <c r="AH33"/>
      <c r="AJ33" s="147"/>
      <c r="AK33" s="181"/>
      <c r="AL33" s="181"/>
      <c r="AM33" s="181"/>
      <c r="AO33" s="147"/>
      <c r="BB33" s="168"/>
      <c r="BC33" s="171">
        <v>24</v>
      </c>
      <c r="BD33" s="171">
        <v>8</v>
      </c>
      <c r="BE33" s="171">
        <v>8</v>
      </c>
      <c r="BF33" s="171">
        <v>8</v>
      </c>
    </row>
    <row r="34" spans="1:58" s="6" customFormat="1" ht="21.95" customHeight="1">
      <c r="M34" s="147"/>
      <c r="V34" s="312"/>
      <c r="AE34" s="147"/>
      <c r="AH34"/>
      <c r="AJ34" s="147"/>
      <c r="AK34" s="147"/>
      <c r="AL34" s="147"/>
      <c r="AM34" s="147"/>
      <c r="AO34" s="147"/>
    </row>
    <row r="35" spans="1:58" s="6" customFormat="1" ht="21.95" customHeight="1">
      <c r="M35" s="147"/>
      <c r="V35" s="312"/>
      <c r="AE35" s="147"/>
      <c r="AH35"/>
      <c r="AJ35" s="147"/>
      <c r="AK35" s="147"/>
      <c r="AL35" s="147"/>
      <c r="AM35" s="147"/>
      <c r="AO35" s="147"/>
    </row>
    <row r="36" spans="1:58" s="6" customFormat="1" ht="21.95" customHeight="1">
      <c r="B36" s="178"/>
      <c r="C36" s="178"/>
      <c r="M36" s="147"/>
      <c r="V36" s="312"/>
      <c r="AE36" s="147"/>
      <c r="AH36"/>
      <c r="AJ36" s="147"/>
      <c r="AK36" s="147"/>
      <c r="AL36" s="147"/>
      <c r="AM36" s="147"/>
      <c r="AO36" s="147"/>
    </row>
    <row r="37" spans="1:58" s="6" customFormat="1" ht="21.95" customHeight="1">
      <c r="M37" s="147"/>
      <c r="V37" s="312"/>
      <c r="AE37" s="147"/>
      <c r="AH37"/>
      <c r="AJ37" s="147"/>
      <c r="AK37" s="147"/>
      <c r="AL37" s="147"/>
      <c r="AM37" s="147"/>
      <c r="AO37" s="147"/>
    </row>
    <row r="38" spans="1:58" s="6" customFormat="1" ht="21.95" customHeight="1">
      <c r="M38" s="147"/>
      <c r="V38" s="312"/>
      <c r="AE38" s="147"/>
      <c r="AH38"/>
      <c r="AJ38" s="147"/>
      <c r="AK38" s="147"/>
      <c r="AL38" s="147"/>
      <c r="AM38" s="147"/>
      <c r="AO38" s="147"/>
    </row>
    <row r="39" spans="1:58" s="6" customFormat="1" ht="21.95" customHeight="1">
      <c r="M39" s="147"/>
      <c r="V39" s="312"/>
      <c r="AE39" s="147"/>
      <c r="AH39"/>
      <c r="AJ39" s="147"/>
      <c r="AK39" s="147"/>
      <c r="AL39" s="147"/>
      <c r="AM39" s="147"/>
      <c r="AO39" s="147"/>
    </row>
    <row r="40" spans="1:58" s="6" customFormat="1" ht="21.95" customHeight="1">
      <c r="M40" s="147"/>
      <c r="V40" s="312"/>
      <c r="AE40" s="147"/>
      <c r="AH40"/>
      <c r="AJ40" s="147"/>
      <c r="AK40" s="147"/>
      <c r="AL40" s="147"/>
      <c r="AM40" s="147"/>
      <c r="AO40" s="147"/>
    </row>
    <row r="41" spans="1:58" s="6" customFormat="1" ht="21.95" customHeight="1">
      <c r="M41" s="147"/>
      <c r="V41" s="312"/>
      <c r="AE41" s="147"/>
      <c r="AH41"/>
      <c r="AJ41" s="147"/>
      <c r="AK41" s="147"/>
      <c r="AL41" s="147"/>
      <c r="AM41" s="147"/>
      <c r="AO41" s="147"/>
    </row>
    <row r="42" spans="1:58" s="6" customFormat="1" ht="21.95" customHeight="1">
      <c r="M42" s="147"/>
      <c r="V42" s="312"/>
      <c r="AE42" s="147"/>
      <c r="AH42"/>
      <c r="AJ42" s="147"/>
      <c r="AK42" s="147"/>
      <c r="AL42" s="147"/>
      <c r="AM42" s="147"/>
      <c r="AO42" s="147"/>
    </row>
    <row r="43" spans="1:58" s="6" customFormat="1" ht="21.95" customHeight="1">
      <c r="M43" s="147"/>
      <c r="V43" s="312"/>
      <c r="AE43" s="147"/>
      <c r="AH43"/>
      <c r="AJ43" s="147"/>
      <c r="AK43" s="147"/>
      <c r="AL43" s="147"/>
      <c r="AM43" s="147"/>
      <c r="AO43" s="147"/>
    </row>
    <row r="44" spans="1:58" s="6" customFormat="1" ht="12.75">
      <c r="M44" s="147"/>
      <c r="V44" s="312"/>
      <c r="AE44" s="147"/>
      <c r="AH44"/>
      <c r="AJ44" s="147"/>
      <c r="AK44" s="147"/>
      <c r="AL44" s="147"/>
      <c r="AM44" s="147"/>
      <c r="AO44" s="147"/>
    </row>
    <row r="45" spans="1:58" s="6" customFormat="1">
      <c r="M45" s="147"/>
      <c r="V45" s="312"/>
      <c r="AE45" s="147"/>
      <c r="AH45"/>
      <c r="AJ45" s="147"/>
      <c r="AK45" s="147"/>
      <c r="AL45" s="147"/>
      <c r="AM45" s="147"/>
      <c r="AO45" s="147"/>
      <c r="AT45" s="1"/>
    </row>
    <row r="46" spans="1:58" s="6" customFormat="1">
      <c r="M46" s="147"/>
      <c r="V46" s="312"/>
      <c r="AE46" s="147"/>
      <c r="AH46"/>
      <c r="AJ46" s="147"/>
      <c r="AK46" s="147"/>
      <c r="AL46" s="147"/>
      <c r="AM46" s="147"/>
      <c r="AO46" s="147"/>
      <c r="AT46" s="1"/>
    </row>
    <row r="47" spans="1:58" s="6" customFormat="1">
      <c r="G47" s="1"/>
      <c r="M47" s="147"/>
      <c r="V47" s="312"/>
      <c r="AE47" s="147"/>
      <c r="AH47"/>
      <c r="AJ47" s="147"/>
      <c r="AK47" s="147"/>
      <c r="AL47" s="147"/>
      <c r="AM47" s="147"/>
      <c r="AO47" s="147"/>
      <c r="AT47" s="1"/>
    </row>
    <row r="48" spans="1:58">
      <c r="A48" s="6"/>
      <c r="B48" s="6"/>
      <c r="C48" s="6"/>
      <c r="D48" s="6"/>
      <c r="AK48" s="147"/>
      <c r="AL48" s="147"/>
      <c r="AM48" s="147"/>
      <c r="AO48" s="147"/>
      <c r="BB48" s="6"/>
      <c r="BC48" s="6"/>
      <c r="BD48" s="6"/>
      <c r="BE48" s="6"/>
      <c r="BF48" s="6"/>
    </row>
    <row r="49" spans="2:58">
      <c r="B49" s="6"/>
      <c r="C49" s="6"/>
      <c r="BB49" s="6"/>
      <c r="BC49" s="6"/>
      <c r="BD49" s="6"/>
      <c r="BE49" s="6"/>
      <c r="BF49" s="6"/>
    </row>
    <row r="50" spans="2:58">
      <c r="B50" s="6"/>
      <c r="C50" s="6"/>
      <c r="BB50" s="6"/>
      <c r="BC50" s="6"/>
      <c r="BD50" s="6"/>
      <c r="BE50" s="6"/>
      <c r="BF50" s="6"/>
    </row>
    <row r="51" spans="2:58">
      <c r="B51" s="6"/>
      <c r="C51" s="6"/>
      <c r="BB51" s="6"/>
      <c r="BC51" s="6"/>
      <c r="BD51" s="6"/>
      <c r="BE51" s="6"/>
      <c r="BF51" s="6"/>
    </row>
    <row r="52" spans="2:58">
      <c r="B52" s="6"/>
      <c r="C52" s="6"/>
    </row>
    <row r="53" spans="2:58">
      <c r="B53" s="6"/>
      <c r="C53" s="6"/>
    </row>
    <row r="54" spans="2:58">
      <c r="B54" s="6"/>
      <c r="C54" s="6"/>
    </row>
  </sheetData>
  <sheetProtection sheet="1" objects="1" scenarios="1" formatCells="0" formatColumns="0" formatRows="0" insertColumns="0" insertRows="0" insertHyperlinks="0" deleteColumns="0" deleteRows="0" sort="0"/>
  <mergeCells count="55">
    <mergeCell ref="H1:J1"/>
    <mergeCell ref="H2:J2"/>
    <mergeCell ref="A1:G1"/>
    <mergeCell ref="A2:G2"/>
    <mergeCell ref="B4:C4"/>
    <mergeCell ref="AO4:AO5"/>
    <mergeCell ref="F24:F29"/>
    <mergeCell ref="H24:H25"/>
    <mergeCell ref="Q24:Q25"/>
    <mergeCell ref="Z24:Z25"/>
    <mergeCell ref="H26:H27"/>
    <mergeCell ref="Q26:Q27"/>
    <mergeCell ref="Z26:Z27"/>
    <mergeCell ref="G28:G29"/>
    <mergeCell ref="H28:H29"/>
    <mergeCell ref="Q28:Q29"/>
    <mergeCell ref="Z28:Z29"/>
    <mergeCell ref="F18:F23"/>
    <mergeCell ref="H18:H19"/>
    <mergeCell ref="Q18:Q19"/>
    <mergeCell ref="Z18:Z19"/>
    <mergeCell ref="H20:H21"/>
    <mergeCell ref="Q20:Q21"/>
    <mergeCell ref="Z20:Z21"/>
    <mergeCell ref="G22:G23"/>
    <mergeCell ref="H22:H23"/>
    <mergeCell ref="Q22:Q23"/>
    <mergeCell ref="Z22:Z23"/>
    <mergeCell ref="F12:F17"/>
    <mergeCell ref="H12:H13"/>
    <mergeCell ref="Q12:Q13"/>
    <mergeCell ref="Z12:Z13"/>
    <mergeCell ref="H14:H15"/>
    <mergeCell ref="Q14:Q15"/>
    <mergeCell ref="Z14:Z15"/>
    <mergeCell ref="G16:G17"/>
    <mergeCell ref="H16:H17"/>
    <mergeCell ref="Q16:Q17"/>
    <mergeCell ref="Z16:Z17"/>
    <mergeCell ref="BB4:BF4"/>
    <mergeCell ref="H4:J4"/>
    <mergeCell ref="Q8:Q9"/>
    <mergeCell ref="Z8:Z9"/>
    <mergeCell ref="F6:F11"/>
    <mergeCell ref="Q4:S4"/>
    <mergeCell ref="G10:G11"/>
    <mergeCell ref="H10:H11"/>
    <mergeCell ref="Q10:Q11"/>
    <mergeCell ref="Z10:Z11"/>
    <mergeCell ref="Q6:Q7"/>
    <mergeCell ref="Z6:Z7"/>
    <mergeCell ref="Z4:AB4"/>
    <mergeCell ref="H6:H7"/>
    <mergeCell ref="H8:H9"/>
    <mergeCell ref="AT4:AZ4"/>
  </mergeCells>
  <phoneticPr fontId="0" type="noConversion"/>
  <conditionalFormatting sqref="D7:D26">
    <cfRule type="duplicateValues" dxfId="31" priority="156"/>
  </conditionalFormatting>
  <conditionalFormatting sqref="J6:J7">
    <cfRule type="iconSet" priority="135">
      <iconSet>
        <cfvo type="percent" val="0"/>
        <cfvo type="percent" val="12"/>
        <cfvo type="percent" val="13"/>
      </iconSet>
    </cfRule>
    <cfRule type="iconSet" priority="149">
      <iconSet>
        <cfvo type="percent" val="0"/>
        <cfvo type="percent" val="12"/>
        <cfvo type="percent" val="13"/>
      </iconSet>
    </cfRule>
  </conditionalFormatting>
  <conditionalFormatting sqref="J8:J9">
    <cfRule type="iconSet" priority="133">
      <iconSet>
        <cfvo type="percent" val="0"/>
        <cfvo type="percent" val="12"/>
        <cfvo type="percent" val="13"/>
      </iconSet>
    </cfRule>
    <cfRule type="duplicateValues" dxfId="30" priority="134"/>
    <cfRule type="iconSet" priority="148">
      <iconSet>
        <cfvo type="percent" val="0"/>
        <cfvo type="percent" val="12"/>
        <cfvo type="percent" val="13"/>
      </iconSet>
    </cfRule>
  </conditionalFormatting>
  <conditionalFormatting sqref="J10:J11">
    <cfRule type="iconSet" priority="128">
      <iconSet>
        <cfvo type="percent" val="0"/>
        <cfvo type="percent" val="12"/>
        <cfvo type="percent" val="13"/>
      </iconSet>
    </cfRule>
  </conditionalFormatting>
  <conditionalFormatting sqref="J12:J13">
    <cfRule type="iconSet" priority="52">
      <iconSet>
        <cfvo type="percent" val="0"/>
        <cfvo type="percent" val="12"/>
        <cfvo type="percent" val="13"/>
      </iconSet>
    </cfRule>
    <cfRule type="iconSet" priority="54">
      <iconSet>
        <cfvo type="percent" val="0"/>
        <cfvo type="percent" val="12"/>
        <cfvo type="percent" val="13"/>
      </iconSet>
    </cfRule>
  </conditionalFormatting>
  <conditionalFormatting sqref="J14:J15">
    <cfRule type="iconSet" priority="50">
      <iconSet>
        <cfvo type="percent" val="0"/>
        <cfvo type="percent" val="12"/>
        <cfvo type="percent" val="13"/>
      </iconSet>
    </cfRule>
    <cfRule type="duplicateValues" dxfId="29" priority="51"/>
    <cfRule type="iconSet" priority="53">
      <iconSet>
        <cfvo type="percent" val="0"/>
        <cfvo type="percent" val="12"/>
        <cfvo type="percent" val="13"/>
      </iconSet>
    </cfRule>
  </conditionalFormatting>
  <conditionalFormatting sqref="J16:J17">
    <cfRule type="iconSet" priority="49">
      <iconSet>
        <cfvo type="percent" val="0"/>
        <cfvo type="percent" val="12"/>
        <cfvo type="percent" val="13"/>
      </iconSet>
    </cfRule>
  </conditionalFormatting>
  <conditionalFormatting sqref="J18:J19">
    <cfRule type="iconSet" priority="46">
      <iconSet>
        <cfvo type="percent" val="0"/>
        <cfvo type="percent" val="12"/>
        <cfvo type="percent" val="13"/>
      </iconSet>
    </cfRule>
    <cfRule type="iconSet" priority="48">
      <iconSet>
        <cfvo type="percent" val="0"/>
        <cfvo type="percent" val="12"/>
        <cfvo type="percent" val="13"/>
      </iconSet>
    </cfRule>
  </conditionalFormatting>
  <conditionalFormatting sqref="J20:J21">
    <cfRule type="iconSet" priority="44">
      <iconSet>
        <cfvo type="percent" val="0"/>
        <cfvo type="percent" val="12"/>
        <cfvo type="percent" val="13"/>
      </iconSet>
    </cfRule>
    <cfRule type="duplicateValues" dxfId="28" priority="45"/>
    <cfRule type="iconSet" priority="47">
      <iconSet>
        <cfvo type="percent" val="0"/>
        <cfvo type="percent" val="12"/>
        <cfvo type="percent" val="13"/>
      </iconSet>
    </cfRule>
  </conditionalFormatting>
  <conditionalFormatting sqref="J22:J23">
    <cfRule type="iconSet" priority="43">
      <iconSet>
        <cfvo type="percent" val="0"/>
        <cfvo type="percent" val="12"/>
        <cfvo type="percent" val="13"/>
      </iconSet>
    </cfRule>
  </conditionalFormatting>
  <conditionalFormatting sqref="J24:J25">
    <cfRule type="iconSet" priority="40">
      <iconSet>
        <cfvo type="percent" val="0"/>
        <cfvo type="percent" val="12"/>
        <cfvo type="percent" val="13"/>
      </iconSet>
    </cfRule>
    <cfRule type="iconSet" priority="42">
      <iconSet>
        <cfvo type="percent" val="0"/>
        <cfvo type="percent" val="12"/>
        <cfvo type="percent" val="13"/>
      </iconSet>
    </cfRule>
  </conditionalFormatting>
  <conditionalFormatting sqref="J26:J27">
    <cfRule type="iconSet" priority="38">
      <iconSet>
        <cfvo type="percent" val="0"/>
        <cfvo type="percent" val="12"/>
        <cfvo type="percent" val="13"/>
      </iconSet>
    </cfRule>
    <cfRule type="duplicateValues" dxfId="27" priority="39"/>
    <cfRule type="iconSet" priority="41">
      <iconSet>
        <cfvo type="percent" val="0"/>
        <cfvo type="percent" val="12"/>
        <cfvo type="percent" val="13"/>
      </iconSet>
    </cfRule>
  </conditionalFormatting>
  <conditionalFormatting sqref="J28:J29">
    <cfRule type="iconSet" priority="37">
      <iconSet>
        <cfvo type="percent" val="0"/>
        <cfvo type="percent" val="12"/>
        <cfvo type="percent" val="13"/>
      </iconSet>
    </cfRule>
  </conditionalFormatting>
  <conditionalFormatting sqref="S6:S7">
    <cfRule type="iconSet" priority="34">
      <iconSet>
        <cfvo type="percent" val="0"/>
        <cfvo type="percent" val="12"/>
        <cfvo type="percent" val="13"/>
      </iconSet>
    </cfRule>
    <cfRule type="iconSet" priority="36">
      <iconSet>
        <cfvo type="percent" val="0"/>
        <cfvo type="percent" val="12"/>
        <cfvo type="percent" val="13"/>
      </iconSet>
    </cfRule>
  </conditionalFormatting>
  <conditionalFormatting sqref="S8:S9">
    <cfRule type="iconSet" priority="32">
      <iconSet>
        <cfvo type="percent" val="0"/>
        <cfvo type="percent" val="12"/>
        <cfvo type="percent" val="13"/>
      </iconSet>
    </cfRule>
    <cfRule type="duplicateValues" dxfId="26" priority="33"/>
    <cfRule type="iconSet" priority="35">
      <iconSet>
        <cfvo type="percent" val="0"/>
        <cfvo type="percent" val="12"/>
        <cfvo type="percent" val="13"/>
      </iconSet>
    </cfRule>
  </conditionalFormatting>
  <conditionalFormatting sqref="S10:S11">
    <cfRule type="iconSet" priority="31">
      <iconSet>
        <cfvo type="percent" val="0"/>
        <cfvo type="percent" val="12"/>
        <cfvo type="percent" val="13"/>
      </iconSet>
    </cfRule>
  </conditionalFormatting>
  <conditionalFormatting sqref="S12:S13">
    <cfRule type="iconSet" priority="28">
      <iconSet>
        <cfvo type="percent" val="0"/>
        <cfvo type="percent" val="12"/>
        <cfvo type="percent" val="13"/>
      </iconSet>
    </cfRule>
    <cfRule type="iconSet" priority="30">
      <iconSet>
        <cfvo type="percent" val="0"/>
        <cfvo type="percent" val="12"/>
        <cfvo type="percent" val="13"/>
      </iconSet>
    </cfRule>
  </conditionalFormatting>
  <conditionalFormatting sqref="S14:S15">
    <cfRule type="iconSet" priority="26">
      <iconSet>
        <cfvo type="percent" val="0"/>
        <cfvo type="percent" val="12"/>
        <cfvo type="percent" val="13"/>
      </iconSet>
    </cfRule>
    <cfRule type="duplicateValues" dxfId="25" priority="27"/>
    <cfRule type="iconSet" priority="29">
      <iconSet>
        <cfvo type="percent" val="0"/>
        <cfvo type="percent" val="12"/>
        <cfvo type="percent" val="13"/>
      </iconSet>
    </cfRule>
  </conditionalFormatting>
  <conditionalFormatting sqref="S16:S17">
    <cfRule type="iconSet" priority="25">
      <iconSet>
        <cfvo type="percent" val="0"/>
        <cfvo type="percent" val="12"/>
        <cfvo type="percent" val="13"/>
      </iconSet>
    </cfRule>
  </conditionalFormatting>
  <conditionalFormatting sqref="S18:S19">
    <cfRule type="iconSet" priority="22">
      <iconSet>
        <cfvo type="percent" val="0"/>
        <cfvo type="percent" val="12"/>
        <cfvo type="percent" val="13"/>
      </iconSet>
    </cfRule>
    <cfRule type="iconSet" priority="24">
      <iconSet>
        <cfvo type="percent" val="0"/>
        <cfvo type="percent" val="12"/>
        <cfvo type="percent" val="13"/>
      </iconSet>
    </cfRule>
  </conditionalFormatting>
  <conditionalFormatting sqref="S20:S21">
    <cfRule type="iconSet" priority="20">
      <iconSet>
        <cfvo type="percent" val="0"/>
        <cfvo type="percent" val="12"/>
        <cfvo type="percent" val="13"/>
      </iconSet>
    </cfRule>
    <cfRule type="duplicateValues" dxfId="24" priority="21"/>
    <cfRule type="iconSet" priority="23">
      <iconSet>
        <cfvo type="percent" val="0"/>
        <cfvo type="percent" val="12"/>
        <cfvo type="percent" val="13"/>
      </iconSet>
    </cfRule>
  </conditionalFormatting>
  <conditionalFormatting sqref="S22:S23">
    <cfRule type="iconSet" priority="19">
      <iconSet>
        <cfvo type="percent" val="0"/>
        <cfvo type="percent" val="12"/>
        <cfvo type="percent" val="13"/>
      </iconSet>
    </cfRule>
  </conditionalFormatting>
  <conditionalFormatting sqref="S24:S25">
    <cfRule type="iconSet" priority="16">
      <iconSet>
        <cfvo type="percent" val="0"/>
        <cfvo type="percent" val="12"/>
        <cfvo type="percent" val="13"/>
      </iconSet>
    </cfRule>
    <cfRule type="iconSet" priority="18">
      <iconSet>
        <cfvo type="percent" val="0"/>
        <cfvo type="percent" val="12"/>
        <cfvo type="percent" val="13"/>
      </iconSet>
    </cfRule>
  </conditionalFormatting>
  <conditionalFormatting sqref="S26:S27">
    <cfRule type="iconSet" priority="14">
      <iconSet>
        <cfvo type="percent" val="0"/>
        <cfvo type="percent" val="12"/>
        <cfvo type="percent" val="13"/>
      </iconSet>
    </cfRule>
    <cfRule type="duplicateValues" dxfId="23" priority="15"/>
    <cfRule type="iconSet" priority="17">
      <iconSet>
        <cfvo type="percent" val="0"/>
        <cfvo type="percent" val="12"/>
        <cfvo type="percent" val="13"/>
      </iconSet>
    </cfRule>
  </conditionalFormatting>
  <conditionalFormatting sqref="S28:S29">
    <cfRule type="iconSet" priority="13">
      <iconSet>
        <cfvo type="percent" val="0"/>
        <cfvo type="percent" val="12"/>
        <cfvo type="percent" val="13"/>
      </iconSet>
    </cfRule>
  </conditionalFormatting>
  <conditionalFormatting sqref="AB6:AB7">
    <cfRule type="iconSet" priority="83">
      <iconSet>
        <cfvo type="percent" val="0"/>
        <cfvo type="percent" val="12"/>
        <cfvo type="percent" val="13"/>
      </iconSet>
    </cfRule>
  </conditionalFormatting>
  <conditionalFormatting sqref="AB8:AB9">
    <cfRule type="iconSet" priority="82">
      <iconSet>
        <cfvo type="percent" val="0"/>
        <cfvo type="percent" val="12"/>
        <cfvo type="percent" val="13"/>
      </iconSet>
    </cfRule>
  </conditionalFormatting>
  <conditionalFormatting sqref="AB10:AB11">
    <cfRule type="iconSet" priority="58">
      <iconSet>
        <cfvo type="percent" val="0"/>
        <cfvo type="percent" val="12"/>
        <cfvo type="percent" val="13"/>
      </iconSet>
    </cfRule>
  </conditionalFormatting>
  <conditionalFormatting sqref="AB12:AB13">
    <cfRule type="iconSet" priority="12">
      <iconSet>
        <cfvo type="percent" val="0"/>
        <cfvo type="percent" val="12"/>
        <cfvo type="percent" val="13"/>
      </iconSet>
    </cfRule>
  </conditionalFormatting>
  <conditionalFormatting sqref="AB14:AB15">
    <cfRule type="iconSet" priority="11">
      <iconSet>
        <cfvo type="percent" val="0"/>
        <cfvo type="percent" val="12"/>
        <cfvo type="percent" val="13"/>
      </iconSet>
    </cfRule>
  </conditionalFormatting>
  <conditionalFormatting sqref="AB16:AB17">
    <cfRule type="iconSet" priority="10">
      <iconSet>
        <cfvo type="percent" val="0"/>
        <cfvo type="percent" val="12"/>
        <cfvo type="percent" val="13"/>
      </iconSet>
    </cfRule>
  </conditionalFormatting>
  <conditionalFormatting sqref="AB18:AB19">
    <cfRule type="iconSet" priority="9">
      <iconSet>
        <cfvo type="percent" val="0"/>
        <cfvo type="percent" val="12"/>
        <cfvo type="percent" val="13"/>
      </iconSet>
    </cfRule>
  </conditionalFormatting>
  <conditionalFormatting sqref="AB20:AB21">
    <cfRule type="iconSet" priority="8">
      <iconSet>
        <cfvo type="percent" val="0"/>
        <cfvo type="percent" val="12"/>
        <cfvo type="percent" val="13"/>
      </iconSet>
    </cfRule>
  </conditionalFormatting>
  <conditionalFormatting sqref="AB22:AB23">
    <cfRule type="iconSet" priority="7">
      <iconSet>
        <cfvo type="percent" val="0"/>
        <cfvo type="percent" val="12"/>
        <cfvo type="percent" val="13"/>
      </iconSet>
    </cfRule>
  </conditionalFormatting>
  <conditionalFormatting sqref="AB24:AB25">
    <cfRule type="iconSet" priority="2">
      <iconSet>
        <cfvo type="percent" val="0"/>
        <cfvo type="percent" val="12"/>
        <cfvo type="percent" val="13"/>
      </iconSet>
    </cfRule>
  </conditionalFormatting>
  <conditionalFormatting sqref="AB26:AB27">
    <cfRule type="iconSet" priority="1">
      <iconSet>
        <cfvo type="percent" val="0"/>
        <cfvo type="percent" val="12"/>
        <cfvo type="percent" val="13"/>
      </iconSet>
    </cfRule>
  </conditionalFormatting>
  <conditionalFormatting sqref="AB28:AB29">
    <cfRule type="iconSet" priority="4">
      <iconSet>
        <cfvo type="percent" val="0"/>
        <cfvo type="percent" val="12"/>
        <cfvo type="percent" val="13"/>
      </iconSet>
    </cfRule>
  </conditionalFormatting>
  <conditionalFormatting sqref="AT6:AT10">
    <cfRule type="duplicateValues" dxfId="22" priority="97"/>
  </conditionalFormatting>
  <conditionalFormatting sqref="AT12:AT16">
    <cfRule type="duplicateValues" dxfId="21" priority="96"/>
  </conditionalFormatting>
  <conditionalFormatting sqref="AT18:AT22">
    <cfRule type="duplicateValues" dxfId="20" priority="95"/>
  </conditionalFormatting>
  <conditionalFormatting sqref="AT24:AT28">
    <cfRule type="duplicateValues" dxfId="19" priority="94"/>
  </conditionalFormatting>
  <conditionalFormatting sqref="BD6:BF10 BD12:BF16 BD18:BF22 BD24:BF28">
    <cfRule type="cellIs" dxfId="18" priority="87" operator="equal">
      <formula>2</formula>
    </cfRule>
  </conditionalFormatting>
  <pageMargins left="0.11811023622047245" right="0.11811023622047245" top="0.55118110236220474" bottom="0.43307086614173229" header="0.11811023622047245" footer="0.19685039370078741"/>
  <pageSetup paperSize="9" scale="66" orientation="portrait" copies="2" r:id="rId1"/>
  <headerFooter alignWithMargins="0">
    <oddFooter>&amp;F&amp;RPage &amp;P</oddFooter>
  </headerFooter>
  <colBreaks count="1" manualBreakCount="1">
    <brk id="5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E19"/>
  <sheetViews>
    <sheetView zoomScale="60" zoomScaleNormal="60" workbookViewId="0">
      <selection activeCell="G21" sqref="G21"/>
    </sheetView>
  </sheetViews>
  <sheetFormatPr baseColWidth="10" defaultRowHeight="48.75" customHeight="1"/>
  <cols>
    <col min="1" max="1" width="9.28515625" customWidth="1"/>
    <col min="2" max="2" width="3" customWidth="1"/>
    <col min="3" max="3" width="37.42578125" customWidth="1"/>
    <col min="4" max="4" width="11.7109375" customWidth="1"/>
    <col min="5" max="5" width="6.42578125" customWidth="1"/>
    <col min="6" max="6" width="10.140625" customWidth="1"/>
    <col min="7" max="7" width="3.28515625" customWidth="1"/>
    <col min="8" max="8" width="46.42578125" customWidth="1"/>
    <col min="9" max="9" width="10.5703125" customWidth="1"/>
    <col min="10" max="10" width="7.85546875" customWidth="1"/>
    <col min="11" max="11" width="11.5703125" customWidth="1"/>
    <col min="12" max="12" width="2.7109375" customWidth="1"/>
    <col min="13" max="13" width="46.28515625" customWidth="1"/>
    <col min="14" max="14" width="10.85546875" customWidth="1"/>
    <col min="15" max="15" width="52.5703125" customWidth="1"/>
    <col min="16" max="16" width="0" hidden="1" customWidth="1"/>
    <col min="17" max="17" width="35.85546875" customWidth="1"/>
    <col min="18" max="18" width="15.5703125" customWidth="1"/>
    <col min="19" max="19" width="6.5703125" customWidth="1"/>
    <col min="20" max="20" width="38.5703125" customWidth="1"/>
    <col min="21" max="21" width="14.7109375" customWidth="1"/>
    <col min="22" max="22" width="21.7109375" customWidth="1"/>
    <col min="23" max="23" width="19.140625" customWidth="1"/>
    <col min="24" max="24" width="38.28515625" customWidth="1"/>
    <col min="25" max="25" width="11.5703125" customWidth="1"/>
    <col min="26" max="26" width="10.42578125" customWidth="1"/>
    <col min="27" max="27" width="9.28515625" customWidth="1"/>
    <col min="28" max="28" width="38.85546875" customWidth="1"/>
    <col min="29" max="29" width="12.28515625" customWidth="1"/>
    <col min="30" max="30" width="10" customWidth="1"/>
    <col min="31" max="31" width="10.7109375" customWidth="1"/>
  </cols>
  <sheetData>
    <row r="1" spans="1:31" ht="48.75" customHeight="1" thickBot="1">
      <c r="A1" s="419" t="str">
        <f>+'Parties groupes_V'!A1</f>
        <v>CONCOURS QUALIFICATIFS 2024/25</v>
      </c>
      <c r="B1" s="420"/>
      <c r="C1" s="420"/>
      <c r="D1" s="420"/>
      <c r="E1" s="420"/>
      <c r="F1" s="420"/>
      <c r="G1" s="420"/>
      <c r="H1" s="420"/>
      <c r="I1" s="420"/>
      <c r="J1" s="421"/>
      <c r="K1" s="422" t="str">
        <f>+'Parties groupes_V'!H1</f>
        <v>St Victor</v>
      </c>
      <c r="L1" s="423"/>
      <c r="M1" s="42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48.75" customHeight="1" thickBot="1">
      <c r="A2" s="425" t="str">
        <f>+'Parties groupes_V'!A2</f>
        <v xml:space="preserve"> M3   1ère Journée</v>
      </c>
      <c r="B2" s="426"/>
      <c r="C2" s="426"/>
      <c r="D2" s="426"/>
      <c r="E2" s="426"/>
      <c r="F2" s="426"/>
      <c r="G2" s="426"/>
      <c r="H2" s="426"/>
      <c r="I2" s="426"/>
      <c r="J2" s="427"/>
      <c r="K2" s="428">
        <f>+'Parties groupes_V'!H2</f>
        <v>45549</v>
      </c>
      <c r="L2" s="429"/>
      <c r="M2" s="430"/>
      <c r="N2" s="33"/>
      <c r="O2" s="33"/>
      <c r="P2" s="33"/>
      <c r="Q2" s="416" t="s">
        <v>72</v>
      </c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33"/>
    </row>
    <row r="3" spans="1:31" ht="48.7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48.75" customHeight="1" thickBot="1">
      <c r="A4" s="431" t="s">
        <v>42</v>
      </c>
      <c r="B4" s="432"/>
      <c r="C4" s="432"/>
      <c r="D4" s="433"/>
      <c r="E4" s="33"/>
      <c r="F4" s="434" t="s">
        <v>43</v>
      </c>
      <c r="G4" s="435"/>
      <c r="H4" s="435"/>
      <c r="I4" s="436"/>
      <c r="J4" s="33"/>
      <c r="K4" s="33"/>
      <c r="L4" s="33"/>
      <c r="M4" s="33"/>
      <c r="N4" s="33"/>
      <c r="O4" s="33"/>
      <c r="P4" s="33"/>
      <c r="Q4" s="417" t="s">
        <v>73</v>
      </c>
      <c r="R4" s="418"/>
      <c r="S4" s="70"/>
      <c r="T4" s="70"/>
      <c r="U4" s="71" t="s">
        <v>74</v>
      </c>
      <c r="V4" s="72"/>
      <c r="W4" s="162"/>
      <c r="X4" s="70"/>
      <c r="Y4" s="71" t="s">
        <v>75</v>
      </c>
      <c r="Z4" s="73"/>
      <c r="AA4" s="70"/>
      <c r="AB4" s="70"/>
      <c r="AC4" s="71" t="s">
        <v>45</v>
      </c>
      <c r="AD4" s="72"/>
      <c r="AE4" s="33"/>
    </row>
    <row r="5" spans="1:31" ht="48.75" customHeight="1">
      <c r="A5" s="34"/>
      <c r="B5" s="34"/>
      <c r="C5" s="34"/>
      <c r="D5" s="34"/>
      <c r="E5" s="33"/>
      <c r="F5" s="34"/>
      <c r="G5" s="3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1" ht="48.75" customHeight="1" thickBot="1">
      <c r="A6" s="97" t="s">
        <v>2</v>
      </c>
      <c r="B6" s="97"/>
      <c r="C6" s="177" t="s">
        <v>0</v>
      </c>
      <c r="D6" s="177" t="s">
        <v>1</v>
      </c>
      <c r="E6" s="97"/>
      <c r="F6" s="97" t="s">
        <v>2</v>
      </c>
      <c r="G6" s="97"/>
      <c r="H6" s="177" t="s">
        <v>0</v>
      </c>
      <c r="I6" s="177" t="s">
        <v>1</v>
      </c>
      <c r="J6" s="33"/>
      <c r="K6" s="33"/>
      <c r="L6" s="33"/>
      <c r="M6" s="33"/>
      <c r="N6" s="33"/>
      <c r="O6" s="33"/>
      <c r="P6" s="70"/>
      <c r="Q6" s="70"/>
      <c r="R6" s="47" t="s">
        <v>76</v>
      </c>
      <c r="S6" s="70"/>
      <c r="T6" s="70"/>
      <c r="U6" s="47" t="s">
        <v>76</v>
      </c>
      <c r="V6" s="74" t="s">
        <v>77</v>
      </c>
      <c r="W6" s="74" t="s">
        <v>85</v>
      </c>
      <c r="X6" s="74" t="s">
        <v>119</v>
      </c>
      <c r="Y6" s="75" t="s">
        <v>59</v>
      </c>
      <c r="Z6" s="74" t="s">
        <v>75</v>
      </c>
      <c r="AA6" s="74"/>
      <c r="AB6" s="70" t="s">
        <v>45</v>
      </c>
      <c r="AC6" s="75" t="s">
        <v>59</v>
      </c>
      <c r="AD6" s="74" t="s">
        <v>22</v>
      </c>
      <c r="AE6" s="70"/>
    </row>
    <row r="7" spans="1:31" ht="48.75" customHeight="1" thickBot="1">
      <c r="A7" s="437">
        <v>2</v>
      </c>
      <c r="B7" s="76" t="s">
        <v>44</v>
      </c>
      <c r="C7" s="77" t="str">
        <f>+'Parties groupes_V'!AU7</f>
        <v xml:space="preserve"> </v>
      </c>
      <c r="D7" s="78"/>
      <c r="E7" s="35"/>
      <c r="F7" s="437">
        <v>6</v>
      </c>
      <c r="G7" s="76" t="s">
        <v>44</v>
      </c>
      <c r="H7" s="79" t="str">
        <f>+'Parties groupes_V'!AU6</f>
        <v>FONTANEL Julien</v>
      </c>
      <c r="I7" s="80"/>
      <c r="J7" s="81"/>
      <c r="K7" s="439" t="s">
        <v>45</v>
      </c>
      <c r="L7" s="440"/>
      <c r="M7" s="440"/>
      <c r="N7" s="441"/>
      <c r="O7" s="33"/>
      <c r="P7" s="70">
        <v>4</v>
      </c>
      <c r="Q7" s="82" t="str">
        <f>+'Parties groupes_V'!AU9</f>
        <v xml:space="preserve"> </v>
      </c>
      <c r="R7" s="83" t="str">
        <f>IF(ISNA(VLOOKUP(Q7,'Parties groupes_V'!$BB$6:$BC$10,2,0)),"",VLOOKUP(Q7,'Parties groupes_V'!$BB$6:$BC$10,2,0))</f>
        <v/>
      </c>
      <c r="S7" s="70"/>
      <c r="T7" s="84" t="str">
        <f t="shared" ref="T7:T14" si="0">+C7</f>
        <v xml:space="preserve"> </v>
      </c>
      <c r="U7" s="85">
        <f>SUM(IFERROR(VLOOKUP(T7,$T$7:$V$15,3,0),0),IFERROR(VLOOKUP(T7,'[1]1A_G'!$R$7:$V$25,2,0),0))</f>
        <v>0</v>
      </c>
      <c r="V7" s="86">
        <f t="array" ref="V7">IF(OR(C7:C8="OFFICE"),0,IF(D7&gt;D8,1,0))</f>
        <v>0</v>
      </c>
      <c r="W7" s="164">
        <f>V7*2</f>
        <v>0</v>
      </c>
      <c r="X7" s="87"/>
      <c r="Y7" s="88"/>
      <c r="Z7" s="89"/>
      <c r="AA7" s="87"/>
      <c r="AB7" s="90"/>
      <c r="AC7" s="88"/>
      <c r="AD7" s="91"/>
      <c r="AE7" s="70"/>
    </row>
    <row r="8" spans="1:31" ht="48.75" customHeight="1" thickBot="1">
      <c r="A8" s="438"/>
      <c r="B8" s="92" t="s">
        <v>46</v>
      </c>
      <c r="C8" s="93" t="str">
        <f>+'Parties groupes_V'!AU14</f>
        <v xml:space="preserve"> </v>
      </c>
      <c r="D8" s="94"/>
      <c r="E8" s="35"/>
      <c r="F8" s="438"/>
      <c r="G8" s="92" t="s">
        <v>46</v>
      </c>
      <c r="H8" s="95" t="str">
        <f>+'Parties groupes_V'!AU12</f>
        <v>GRAND Emmanuel</v>
      </c>
      <c r="I8" s="96"/>
      <c r="J8" s="81"/>
      <c r="K8" s="97"/>
      <c r="L8" s="97"/>
      <c r="M8" s="97"/>
      <c r="N8" s="97"/>
      <c r="O8" s="33"/>
      <c r="P8" s="70">
        <v>4</v>
      </c>
      <c r="Q8" s="82" t="str">
        <f>+'Parties groupes_V'!AU15</f>
        <v xml:space="preserve"> </v>
      </c>
      <c r="R8" s="83" t="str">
        <f>IF(ISNA(VLOOKUP(Q8,'Parties groupes_V'!$BB$12:$BC$16,2,0)),"",VLOOKUP(Q8,'Parties groupes_V'!$BB$12:$BC$16,2,0))</f>
        <v/>
      </c>
      <c r="S8" s="70"/>
      <c r="T8" s="98" t="str">
        <f t="shared" si="0"/>
        <v xml:space="preserve"> </v>
      </c>
      <c r="U8" s="99">
        <f>SUM(IFERROR(VLOOKUP(T8,$T$7:$V$15,3,0),0),IFERROR(VLOOKUP(T8,'[1]1A_G'!$R$7:$V$25,2,0),0))</f>
        <v>0</v>
      </c>
      <c r="V8" s="100">
        <f t="array" ref="V8">IF(OR(C7:C8="OFFICE"),0,IF(D7&lt;D8,1,0))</f>
        <v>0</v>
      </c>
      <c r="W8" s="164">
        <f t="shared" ref="W8:W10" si="1">V8*2</f>
        <v>0</v>
      </c>
      <c r="X8" s="101" t="str">
        <f>+H7</f>
        <v>FONTANEL Julien</v>
      </c>
      <c r="Y8" s="102">
        <f>SUM(IFERROR(VLOOKUP(X8,$X$7:$UA$15,3,0),0),IFERROR(VLOOKUP(X8,'Parties groupes_V'!$BB6:BC28,2,0),0))</f>
        <v>0</v>
      </c>
      <c r="Z8" s="100">
        <f t="array" ref="Z8">IF(OR(H7:H8="OFFICE"),0,IF(I7&gt;I8,1,0))</f>
        <v>0</v>
      </c>
      <c r="AA8" s="101">
        <f>Z8*4</f>
        <v>0</v>
      </c>
      <c r="AB8" s="103"/>
      <c r="AC8" s="104"/>
      <c r="AD8" s="105"/>
      <c r="AE8" s="70"/>
    </row>
    <row r="9" spans="1:31" ht="48.75" customHeight="1" thickBot="1">
      <c r="A9" s="437">
        <v>3</v>
      </c>
      <c r="B9" s="76" t="s">
        <v>47</v>
      </c>
      <c r="C9" s="106" t="str">
        <f>+'Parties groupes_V'!AU19</f>
        <v xml:space="preserve"> </v>
      </c>
      <c r="D9" s="78"/>
      <c r="E9" s="35"/>
      <c r="F9" s="36"/>
      <c r="G9" s="107"/>
      <c r="H9" s="108"/>
      <c r="I9" s="109"/>
      <c r="J9" s="81"/>
      <c r="K9" s="97" t="s">
        <v>2</v>
      </c>
      <c r="L9" s="97"/>
      <c r="M9" s="177" t="s">
        <v>0</v>
      </c>
      <c r="N9" s="177" t="s">
        <v>1</v>
      </c>
      <c r="O9" s="33"/>
      <c r="P9" s="70">
        <v>4</v>
      </c>
      <c r="Q9" s="82" t="str">
        <f>+'Parties groupes_V'!AU21</f>
        <v xml:space="preserve"> </v>
      </c>
      <c r="R9" s="83" t="str">
        <f>IF(ISNA(VLOOKUP(Q9,'Parties groupes_V'!$BB$18:$BC$23,2,0)),"",VLOOKUP(Q9,'Parties groupes_V'!$BB$18:$BC$23,2,0))</f>
        <v/>
      </c>
      <c r="S9" s="70"/>
      <c r="T9" s="98" t="str">
        <f t="shared" si="0"/>
        <v xml:space="preserve"> </v>
      </c>
      <c r="U9" s="99">
        <f>SUM(IFERROR(VLOOKUP(T9,$T$7:$V$15,3,0),0),IFERROR(VLOOKUP(T9,'[1]1A_G'!$R$7:$V$25,2,0),0))</f>
        <v>0</v>
      </c>
      <c r="V9" s="100">
        <f t="array" ref="V9">IF(OR(C9:C10="OFFICE"),0,IF(D9&gt;D10,1,0))</f>
        <v>0</v>
      </c>
      <c r="W9" s="164">
        <f t="shared" si="1"/>
        <v>0</v>
      </c>
      <c r="X9" s="101" t="str">
        <f>+H8</f>
        <v>GRAND Emmanuel</v>
      </c>
      <c r="Y9" s="102">
        <f>SUM(IFERROR(VLOOKUP(X9,$X$7:$Z$15,3,0),0),IFERROR(VLOOKUP(X9,'[2]Parties groupe'!BB6:BC28,2,0),0))</f>
        <v>0</v>
      </c>
      <c r="Z9" s="100">
        <f t="array" ref="Z9">IF(OR(H7:H8="OFFICE"),0,IF(I7&lt;I8,1,0))</f>
        <v>0</v>
      </c>
      <c r="AA9" s="101">
        <f>Z9*4</f>
        <v>0</v>
      </c>
      <c r="AB9" s="103"/>
      <c r="AC9" s="104"/>
      <c r="AD9" s="105"/>
      <c r="AE9" s="70"/>
    </row>
    <row r="10" spans="1:31" ht="48.75" customHeight="1" thickBot="1">
      <c r="A10" s="442"/>
      <c r="B10" s="110" t="s">
        <v>48</v>
      </c>
      <c r="C10" s="111" t="str">
        <f>+'Parties groupes_V'!AU26</f>
        <v xml:space="preserve"> </v>
      </c>
      <c r="D10" s="112"/>
      <c r="E10" s="38"/>
      <c r="F10" s="39"/>
      <c r="G10" s="113"/>
      <c r="H10" s="43"/>
      <c r="I10" s="81"/>
      <c r="J10" s="43"/>
      <c r="K10" s="437">
        <v>8</v>
      </c>
      <c r="L10" s="76" t="s">
        <v>44</v>
      </c>
      <c r="M10" s="79" t="str">
        <f>IF(I8=I7," ",IF(I7&gt;I8,H7,H8))</f>
        <v xml:space="preserve"> </v>
      </c>
      <c r="N10" s="80"/>
      <c r="O10" s="33"/>
      <c r="P10" s="70">
        <v>4</v>
      </c>
      <c r="Q10" s="82" t="str">
        <f>+'Parties groupes_V'!AU27</f>
        <v xml:space="preserve"> </v>
      </c>
      <c r="R10" s="83" t="str">
        <f>IF(ISNA(VLOOKUP(Q10,'Parties groupes_V'!$BB$24:$BC$29,2,0)),"",VLOOKUP(Q10,'Parties groupes_V'!$BB$24:$BC$29,2,0))</f>
        <v/>
      </c>
      <c r="S10" s="70"/>
      <c r="T10" s="114" t="str">
        <f t="shared" si="0"/>
        <v xml:space="preserve"> </v>
      </c>
      <c r="U10" s="115">
        <f>SUM(IFERROR(VLOOKUP(T10,$T$7:$V$15,3,0),0),IFERROR(VLOOKUP(T10,'[1]1A_G'!$R$7:$V$25,2,0),0))</f>
        <v>0</v>
      </c>
      <c r="V10" s="116">
        <f t="array" ref="V10">IF(OR(C9:C10="OFFICE"),0,IF(D9&lt;D10,1,0))</f>
        <v>0</v>
      </c>
      <c r="W10" s="164">
        <f t="shared" si="1"/>
        <v>0</v>
      </c>
      <c r="X10" s="117"/>
      <c r="Y10" s="118"/>
      <c r="Z10" s="119"/>
      <c r="AA10" s="117"/>
      <c r="AB10" s="120" t="str">
        <f>+M10</f>
        <v xml:space="preserve"> </v>
      </c>
      <c r="AC10" s="121">
        <v>0</v>
      </c>
      <c r="AD10" s="122">
        <f t="array" ref="AD10">IF(OR(M10:M11="OFFICE"),0,IF(N10&gt;N11,1,0))</f>
        <v>0</v>
      </c>
      <c r="AE10" s="122">
        <f>AD10*4</f>
        <v>0</v>
      </c>
    </row>
    <row r="11" spans="1:31" ht="48.75" customHeight="1" thickTop="1" thickBot="1">
      <c r="A11" s="443">
        <v>7</v>
      </c>
      <c r="B11" s="123" t="s">
        <v>49</v>
      </c>
      <c r="C11" s="124" t="str">
        <f>+'Parties groupes_V'!AU8</f>
        <v xml:space="preserve"> </v>
      </c>
      <c r="D11" s="125"/>
      <c r="E11" s="35"/>
      <c r="F11" s="439" t="s">
        <v>50</v>
      </c>
      <c r="G11" s="440"/>
      <c r="H11" s="440"/>
      <c r="I11" s="441"/>
      <c r="J11" s="43"/>
      <c r="K11" s="438"/>
      <c r="L11" s="92" t="s">
        <v>46</v>
      </c>
      <c r="M11" s="93" t="str">
        <f>IF(I14=I13," ",IF(I13&gt;I14,H13,H14))</f>
        <v xml:space="preserve"> </v>
      </c>
      <c r="N11" s="96"/>
      <c r="O11" s="33"/>
      <c r="P11" s="70"/>
      <c r="Q11" s="70"/>
      <c r="R11" s="70"/>
      <c r="S11" s="70"/>
      <c r="T11" s="84" t="str">
        <f t="shared" si="0"/>
        <v xml:space="preserve"> </v>
      </c>
      <c r="U11" s="126">
        <f>SUM(IFERROR(VLOOKUP(T11,$T$7:$V$15,3,0),0),IFERROR(VLOOKUP(T11,'[1]1A_G'!$R$7:$V$25,2,0),0))</f>
        <v>0</v>
      </c>
      <c r="V11" s="86">
        <f t="array" ref="V11">IF(OR(C11:C12="OFFICE"),0,IF(D11&gt;D12,1,0))</f>
        <v>0</v>
      </c>
      <c r="W11" s="163">
        <f>V11*2</f>
        <v>0</v>
      </c>
      <c r="X11" s="87"/>
      <c r="Y11" s="127"/>
      <c r="Z11" s="89"/>
      <c r="AA11" s="87"/>
      <c r="AB11" s="128" t="str">
        <f>+M11</f>
        <v xml:space="preserve"> </v>
      </c>
      <c r="AC11" s="121">
        <f>SUM(IFERROR(VLOOKUP(AB11,$X$8:$Y$13,2,0),0),IFERROR(VLOOKUP(AB11,$AB$10:$AD$11,3,0),0))</f>
        <v>0</v>
      </c>
      <c r="AD11" s="129">
        <f t="array" ref="AD11">IF(OR(M10:M11="OFFICE"),0,IF(N10&lt;N11,1,0))</f>
        <v>0</v>
      </c>
      <c r="AE11" s="122">
        <f>AD11*4</f>
        <v>0</v>
      </c>
    </row>
    <row r="12" spans="1:31" ht="48.75" customHeight="1" thickBot="1">
      <c r="A12" s="438"/>
      <c r="B12" s="92" t="s">
        <v>51</v>
      </c>
      <c r="C12" s="130" t="str">
        <f>+'Parties groupes_V'!AU13</f>
        <v xml:space="preserve"> </v>
      </c>
      <c r="D12" s="94"/>
      <c r="E12" s="35"/>
      <c r="F12" s="44"/>
      <c r="G12" s="131"/>
      <c r="H12" s="132"/>
      <c r="I12" s="133"/>
      <c r="J12" s="81"/>
      <c r="K12" s="39"/>
      <c r="L12" s="113"/>
      <c r="M12" s="95"/>
      <c r="N12" s="81"/>
      <c r="O12" s="33"/>
      <c r="P12" s="70"/>
      <c r="Q12" s="70"/>
      <c r="R12" s="70"/>
      <c r="S12" s="70"/>
      <c r="T12" s="98" t="str">
        <f t="shared" si="0"/>
        <v xml:space="preserve"> </v>
      </c>
      <c r="U12" s="99">
        <f>SUM(IFERROR(VLOOKUP(T12,$T$7:$V$15,3,0),0),IFERROR(VLOOKUP(T12,'[1]1A_G'!$R$7:$V$25,2,0),0))</f>
        <v>0</v>
      </c>
      <c r="V12" s="100">
        <f t="array" ref="V12">IF(OR(C11:C12="OFFICE"),0,IF(D11&lt;D12,1,0))</f>
        <v>0</v>
      </c>
      <c r="W12" s="163">
        <f t="shared" ref="W12:W14" si="2">V12*2</f>
        <v>0</v>
      </c>
      <c r="X12" s="101" t="str">
        <f>+H13</f>
        <v xml:space="preserve">MAIRE Gaël </v>
      </c>
      <c r="Y12" s="102">
        <f>SUM(IFERROR(VLOOKUP(X12,$X$7:$UA$15,3,0),0),IFERROR(VLOOKUP(X12,'[3]1A_G'!$R$7:$V$25,2,0),0))</f>
        <v>0</v>
      </c>
      <c r="Z12" s="100">
        <f t="array" ref="Z12">IF(OR(H13:H14="OFFICE"),0,IF(I13&gt;I14,1,0))</f>
        <v>0</v>
      </c>
      <c r="AA12" s="101">
        <f>Z12*4</f>
        <v>0</v>
      </c>
      <c r="AB12" s="103"/>
      <c r="AC12" s="104"/>
      <c r="AD12" s="105"/>
      <c r="AE12" s="70"/>
    </row>
    <row r="13" spans="1:31" ht="48.75" customHeight="1" thickBot="1">
      <c r="A13" s="437">
        <v>8</v>
      </c>
      <c r="B13" s="76" t="s">
        <v>52</v>
      </c>
      <c r="C13" s="134" t="str">
        <f>+'Parties groupes_V'!AU20</f>
        <v xml:space="preserve"> </v>
      </c>
      <c r="D13" s="78"/>
      <c r="E13" s="35"/>
      <c r="F13" s="437">
        <v>4</v>
      </c>
      <c r="G13" s="76" t="s">
        <v>52</v>
      </c>
      <c r="H13" s="79" t="str">
        <f>+'Parties groupes_V'!AU18</f>
        <v xml:space="preserve">MAIRE Gaël </v>
      </c>
      <c r="I13" s="80"/>
      <c r="J13" s="81"/>
      <c r="K13" s="39"/>
      <c r="L13" s="113"/>
      <c r="M13" s="43"/>
      <c r="N13" s="81"/>
      <c r="O13" s="33"/>
      <c r="P13" s="33"/>
      <c r="Q13" s="417" t="s">
        <v>83</v>
      </c>
      <c r="R13" s="418"/>
      <c r="S13" s="70"/>
      <c r="T13" s="98" t="str">
        <f t="shared" si="0"/>
        <v xml:space="preserve"> </v>
      </c>
      <c r="U13" s="99">
        <f>SUM(IFERROR(VLOOKUP(T13,$T$7:$V$15,3,0),0),IFERROR(VLOOKUP(T13,'[1]1A_G'!$R$7:$V$25,2,0),0))</f>
        <v>0</v>
      </c>
      <c r="V13" s="100">
        <f t="array" ref="V13">IF(OR(C13:C14="OFFICE"),0,IF(D13&gt;D14,1,0))</f>
        <v>0</v>
      </c>
      <c r="W13" s="163">
        <f t="shared" si="2"/>
        <v>0</v>
      </c>
      <c r="X13" s="101" t="str">
        <f>+H14</f>
        <v>COMTE Denis</v>
      </c>
      <c r="Y13" s="102">
        <f>SUM(IFERROR(VLOOKUP(X13,$X$7:$Z$15,3,0),0),IFERROR(VLOOKUP(X13,'[3]1A_G'!$R$7:$V$25,2,0),0))</f>
        <v>0</v>
      </c>
      <c r="Z13" s="100">
        <f t="array" ref="Z13">IF(OR(H13:H14="OFFICE"),0,IF(I13&lt;I14,1,0))</f>
        <v>0</v>
      </c>
      <c r="AA13" s="101">
        <f>Z13*4</f>
        <v>0</v>
      </c>
      <c r="AB13" s="103"/>
      <c r="AC13" s="104"/>
      <c r="AD13" s="105"/>
      <c r="AE13" s="70"/>
    </row>
    <row r="14" spans="1:31" ht="48.75" customHeight="1" thickBot="1">
      <c r="A14" s="438"/>
      <c r="B14" s="92" t="s">
        <v>53</v>
      </c>
      <c r="C14" s="135" t="str">
        <f>+'Parties groupes_V'!AU25</f>
        <v xml:space="preserve"> </v>
      </c>
      <c r="D14" s="94"/>
      <c r="E14" s="32"/>
      <c r="F14" s="438"/>
      <c r="G14" s="92" t="s">
        <v>53</v>
      </c>
      <c r="H14" s="93" t="str">
        <f>+'Parties groupes_V'!AU24</f>
        <v>COMTE Denis</v>
      </c>
      <c r="I14" s="96"/>
      <c r="J14" s="81"/>
      <c r="K14" s="39"/>
      <c r="L14" s="113"/>
      <c r="M14" s="136"/>
      <c r="N14" s="136"/>
      <c r="P14" s="33"/>
      <c r="Q14" s="33"/>
      <c r="R14" s="33"/>
      <c r="S14" s="70"/>
      <c r="T14" s="137" t="str">
        <f t="shared" si="0"/>
        <v xml:space="preserve"> </v>
      </c>
      <c r="U14" s="115">
        <f>SUM(IFERROR(VLOOKUP(T14,$T$7:$V$15,3,0),0),IFERROR(VLOOKUP(T14,'[1]1A_G'!$R$7:$V$25,2,0),0))</f>
        <v>0</v>
      </c>
      <c r="V14" s="138">
        <f t="array" ref="V14">IF(OR(C13:C14="OFFICE"),0,IF(D13&lt;D14,1,0))</f>
        <v>0</v>
      </c>
      <c r="W14" s="163">
        <f t="shared" si="2"/>
        <v>0</v>
      </c>
      <c r="X14" s="139"/>
      <c r="Y14" s="140"/>
      <c r="Z14" s="141"/>
      <c r="AA14" s="139"/>
      <c r="AB14" s="142"/>
      <c r="AC14" s="140"/>
      <c r="AD14" s="143"/>
      <c r="AE14" s="70"/>
    </row>
    <row r="15" spans="1:31" ht="48.75" customHeight="1">
      <c r="A15" s="35"/>
      <c r="B15" s="40"/>
      <c r="C15" s="45"/>
      <c r="D15" s="46"/>
      <c r="E15" s="35"/>
      <c r="F15" s="35"/>
      <c r="G15" s="40"/>
      <c r="H15" s="41"/>
      <c r="I15" s="42"/>
      <c r="J15" s="37"/>
      <c r="K15" s="35"/>
      <c r="L15" s="40"/>
      <c r="M15" s="41"/>
      <c r="N15" s="42"/>
      <c r="O15" s="33"/>
      <c r="P15" s="70"/>
      <c r="Q15" s="70"/>
      <c r="R15" s="47" t="s">
        <v>76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ht="48.75" customHeight="1">
      <c r="A16" s="35"/>
      <c r="B16" s="144"/>
      <c r="C16" s="34"/>
      <c r="D16" s="46"/>
      <c r="E16" s="35"/>
      <c r="F16" s="35"/>
      <c r="G16" s="144"/>
      <c r="H16" s="34"/>
      <c r="I16" s="46"/>
      <c r="J16" s="33"/>
      <c r="K16" s="33"/>
      <c r="L16" s="33"/>
      <c r="M16" s="33"/>
      <c r="N16" s="33"/>
      <c r="O16" s="33"/>
      <c r="P16" s="70">
        <v>5</v>
      </c>
      <c r="Q16" s="82" t="str">
        <f>+'Parties groupes_V'!AU10</f>
        <v xml:space="preserve"> </v>
      </c>
      <c r="R16" s="83" t="str">
        <f>IF(ISNA(VLOOKUP(Q16,'Parties groupes_V'!$BB$6:$BC$10,2,0)),"",VLOOKUP(Q16,'Parties groupes_V'!$BB$6:$BC$10,2,0))</f>
        <v/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5:31" ht="48.75" customHeight="1">
      <c r="O17" s="33"/>
      <c r="P17" s="70">
        <v>5</v>
      </c>
      <c r="Q17" s="82" t="str">
        <f>+'Parties groupes_V'!AU16</f>
        <v xml:space="preserve"> </v>
      </c>
      <c r="R17" s="83" t="str">
        <f>IF(ISNA(VLOOKUP(Q17,'Parties groupes_V'!$BB$12:$BC$16,2,0)),"",VLOOKUP(Q17,'Parties groupes_V'!$BB$12:$BC$16,2,0))</f>
        <v/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5:31" ht="48.75" customHeight="1">
      <c r="P18" s="70">
        <v>5</v>
      </c>
      <c r="Q18" s="82" t="str">
        <f>+'Parties groupes_V'!AU22</f>
        <v xml:space="preserve"> </v>
      </c>
      <c r="R18" s="83" t="str">
        <f>IF(ISNA(VLOOKUP(Q18,'Parties groupes_V'!$BB$18:$BC$23,2,0)),"",VLOOKUP(Q18,'Parties groupes_V'!$BB$18:$BC$23,2,0))</f>
        <v/>
      </c>
    </row>
    <row r="19" spans="15:31" ht="48.75" customHeight="1">
      <c r="P19" s="70">
        <v>5</v>
      </c>
      <c r="Q19" s="82" t="str">
        <f>+'Parties groupes_V'!AU28</f>
        <v xml:space="preserve"> </v>
      </c>
      <c r="R19" s="83" t="str">
        <f>IF(ISNA(VLOOKUP(Q19,'Parties groupes_V'!$BB$24:$BC$29,2,0)),"",VLOOKUP(Q19,'Parties groupes_V'!$BB$24:$BC$29,2,0))</f>
        <v/>
      </c>
    </row>
  </sheetData>
  <sheetProtection sheet="1" objects="1" scenarios="1"/>
  <mergeCells count="18">
    <mergeCell ref="Q13:R13"/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Q2:AD2"/>
    <mergeCell ref="Q4:R4"/>
    <mergeCell ref="A1:J1"/>
    <mergeCell ref="K1:M1"/>
    <mergeCell ref="A2:J2"/>
    <mergeCell ref="K2:M2"/>
    <mergeCell ref="A4:D4"/>
    <mergeCell ref="F4:I4"/>
  </mergeCells>
  <conditionalFormatting sqref="C11:C15">
    <cfRule type="cellIs" dxfId="17" priority="8" stopIfTrue="1" operator="equal">
      <formula>"OFFICE"</formula>
    </cfRule>
  </conditionalFormatting>
  <conditionalFormatting sqref="H9:H10 M13 H15 M15">
    <cfRule type="cellIs" dxfId="16" priority="7" stopIfTrue="1" operator="equal">
      <formula>"OFFICE"</formula>
    </cfRule>
  </conditionalFormatting>
  <conditionalFormatting sqref="Y8">
    <cfRule type="expression" dxfId="15" priority="2">
      <formula>OR($Z$8&gt;$Z$9,$Z$8=$Z$9)</formula>
    </cfRule>
  </conditionalFormatting>
  <conditionalFormatting sqref="Y9">
    <cfRule type="expression" dxfId="14" priority="5">
      <formula>OR($Z$8&lt;$Z$9,$Z$8=$Z$9)</formula>
    </cfRule>
  </conditionalFormatting>
  <conditionalFormatting sqref="Y12">
    <cfRule type="expression" dxfId="13" priority="4">
      <formula>OR($Z$12&gt;$Z$13,$Z$12=$Z$13)</formula>
    </cfRule>
  </conditionalFormatting>
  <conditionalFormatting sqref="Y13">
    <cfRule type="expression" dxfId="12" priority="1">
      <formula>OR($Z$12&lt;$Z$13,$Z$12=$Z$13)</formula>
    </cfRule>
  </conditionalFormatting>
  <pageMargins left="0.14000000000000001" right="0.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P31"/>
  <sheetViews>
    <sheetView zoomScale="80" zoomScaleNormal="80" workbookViewId="0">
      <selection activeCell="I31" sqref="I31"/>
    </sheetView>
  </sheetViews>
  <sheetFormatPr baseColWidth="10" defaultRowHeight="12.75"/>
  <cols>
    <col min="1" max="1" width="5.5703125" customWidth="1"/>
    <col min="2" max="2" width="34.85546875" customWidth="1"/>
    <col min="3" max="3" width="9.5703125" customWidth="1"/>
    <col min="4" max="4" width="7.140625" customWidth="1"/>
    <col min="5" max="5" width="8.7109375" customWidth="1"/>
    <col min="6" max="6" width="9" customWidth="1"/>
    <col min="7" max="7" width="12.42578125" bestFit="1" customWidth="1"/>
    <col min="9" max="9" width="15.5703125" customWidth="1"/>
    <col min="16" max="16" width="12.42578125" bestFit="1" customWidth="1"/>
  </cols>
  <sheetData>
    <row r="1" spans="1:16" ht="30.75" customHeight="1" thickBot="1">
      <c r="A1" s="419" t="str">
        <f>+'Parties groupes_V'!A1</f>
        <v>CONCOURS QUALIFICATIFS 2024/25</v>
      </c>
      <c r="B1" s="420"/>
      <c r="C1" s="420"/>
      <c r="D1" s="420"/>
      <c r="E1" s="420"/>
      <c r="F1" s="420"/>
      <c r="G1" s="420"/>
      <c r="H1" s="420"/>
      <c r="I1" s="420"/>
      <c r="J1" s="421"/>
      <c r="K1" s="422" t="str">
        <f>+'Parties groupes_V'!H1</f>
        <v>St Victor</v>
      </c>
      <c r="L1" s="423"/>
      <c r="M1" s="424"/>
      <c r="N1" s="47"/>
      <c r="O1" s="47"/>
      <c r="P1" s="47"/>
    </row>
    <row r="2" spans="1:16" ht="30.75" customHeight="1" thickBot="1">
      <c r="A2" s="425" t="str">
        <f>+'Parties groupes_V'!A2</f>
        <v xml:space="preserve"> M3   1ère Journée</v>
      </c>
      <c r="B2" s="426"/>
      <c r="C2" s="426"/>
      <c r="D2" s="426"/>
      <c r="E2" s="426"/>
      <c r="F2" s="426"/>
      <c r="G2" s="426"/>
      <c r="H2" s="426"/>
      <c r="I2" s="426"/>
      <c r="J2" s="427"/>
      <c r="K2" s="428">
        <f>+'Parties groupes_V'!H2</f>
        <v>45549</v>
      </c>
      <c r="L2" s="429"/>
      <c r="M2" s="430"/>
      <c r="N2" s="48"/>
      <c r="O2" s="48"/>
      <c r="P2" s="48"/>
    </row>
    <row r="3" spans="1:16" ht="21" customHeight="1" thickBot="1">
      <c r="A3" s="49"/>
      <c r="B3" s="49"/>
      <c r="C3" s="453"/>
      <c r="D3" s="453"/>
      <c r="E3" s="453"/>
      <c r="F3" s="50"/>
      <c r="G3" s="50"/>
      <c r="H3" s="33"/>
      <c r="I3" s="33"/>
      <c r="J3" s="33"/>
      <c r="K3" s="33"/>
      <c r="L3" s="33"/>
      <c r="M3" s="452"/>
      <c r="N3" s="452"/>
      <c r="O3" s="51"/>
      <c r="P3" s="51"/>
    </row>
    <row r="4" spans="1:16" ht="27" customHeight="1" thickBot="1">
      <c r="A4" s="33"/>
      <c r="B4" s="52"/>
      <c r="C4" s="447" t="s">
        <v>54</v>
      </c>
      <c r="D4" s="448"/>
      <c r="E4" s="448"/>
      <c r="F4" s="448"/>
      <c r="G4" s="448"/>
      <c r="H4" s="448"/>
      <c r="I4" s="448"/>
      <c r="J4" s="448"/>
      <c r="K4" s="448"/>
      <c r="L4" s="449"/>
      <c r="M4" s="450" t="s">
        <v>55</v>
      </c>
      <c r="N4" s="448"/>
      <c r="O4" s="448"/>
      <c r="P4" s="451"/>
    </row>
    <row r="5" spans="1:16" ht="32.25" thickBot="1">
      <c r="A5" s="33"/>
      <c r="B5" s="52"/>
      <c r="C5" s="53" t="s">
        <v>56</v>
      </c>
      <c r="D5" s="54" t="s">
        <v>57</v>
      </c>
      <c r="E5" s="54" t="s">
        <v>58</v>
      </c>
      <c r="F5" s="55" t="s">
        <v>59</v>
      </c>
      <c r="G5" s="55" t="s">
        <v>60</v>
      </c>
      <c r="H5" s="55" t="s">
        <v>61</v>
      </c>
      <c r="I5" s="55" t="s">
        <v>62</v>
      </c>
      <c r="J5" s="55" t="s">
        <v>82</v>
      </c>
      <c r="K5" s="54" t="s">
        <v>63</v>
      </c>
      <c r="L5" s="54" t="s">
        <v>64</v>
      </c>
      <c r="M5" s="56" t="s">
        <v>65</v>
      </c>
      <c r="N5" s="54" t="s">
        <v>66</v>
      </c>
      <c r="O5" s="57" t="s">
        <v>67</v>
      </c>
      <c r="P5" s="57" t="s">
        <v>68</v>
      </c>
    </row>
    <row r="6" spans="1:16" ht="13.5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24.95" customHeight="1">
      <c r="A7" s="444">
        <v>1</v>
      </c>
      <c r="B7" s="159" t="str">
        <f>+'Parties groupes_V'!I6</f>
        <v>PATOT THIERRY</v>
      </c>
      <c r="C7" s="227">
        <f>INDEX('Parties groupes_V'!$K$6:$K$10,MATCH(B7,'Parties groupes_V'!$I$6:$I$10,0))</f>
        <v>0</v>
      </c>
      <c r="D7" s="228">
        <f>INDEX('Parties groupes_V'!$T$6:$T$10,MATCH(B7,'Parties groupes_V'!$R$6:$R$10,0))</f>
        <v>0</v>
      </c>
      <c r="E7" s="229">
        <f>INDEX('Parties groupes_V'!$AC$6:$AC$10,MATCH(B7,'Parties groupes_V'!$AA$6:$AA$10,0))</f>
        <v>2</v>
      </c>
      <c r="F7" s="58">
        <f>IF((C7=""),"",SUM(C7:E7))</f>
        <v>2</v>
      </c>
      <c r="G7" s="222" t="str">
        <f>IF(ISNA(MATCH(B7,'Parties groupes_V'!$AI$6:$AI$10,0)),"",INDEX('Parties groupes_V'!$AL$6:$AL$10,MATCH(B7,'Parties groupes_V'!$AI$6:$AI$10,0)))</f>
        <v/>
      </c>
      <c r="H7" s="228" t="str">
        <f>IF(ISNA(MATCH(B7,'Parties groupes_V'!$AI$6:$AI$10,0)),"",INDEX('Parties groupes_V'!$AM$6:$AM$10,MATCH(B7,'Parties groupes_V'!$AI$6:$AI$10,0)))</f>
        <v/>
      </c>
      <c r="I7" s="228" t="e">
        <f>IF((F7=0),"",(G7-H7))</f>
        <v>#VALUE!</v>
      </c>
      <c r="J7" s="229" t="str">
        <f>IF(ISNA(MATCH(B7,'Parties groupes_V'!$AI$6:$AI$10,0)),"",INDEX('Parties groupes_V'!$AO$6:$AO$10,MATCH(B7,'Parties groupes_V'!$AI$6:$AI$10,0)))</f>
        <v/>
      </c>
      <c r="K7" s="236" t="str">
        <f>IF(ISNA(MATCH(B7,'Parties groupes_V'!$AU$6:$AU$10,0)),"",INDEX('Parties groupes_V'!$AT$6:$AT$10,MATCH(B7,'Parties groupes_V'!$AU$6:$AU$10,0)))</f>
        <v/>
      </c>
      <c r="L7" s="243">
        <f>IF((D7=""),"",IF((K7=1),6,IF((K7=2),4,IF((K7=3),2,0))))</f>
        <v>0</v>
      </c>
      <c r="M7" s="240" t="str">
        <f>IF((K7=""),"",IF(OR(K7=1,K7=4,K7=5),"",IF(('Phases Finales'!$D$14=""),"",VLOOKUP(B7,'Phases Finales'!$T$7:$Z$14,4,0))))</f>
        <v/>
      </c>
      <c r="N7" s="157" t="str">
        <f>IF((K7=""),"",IF(OR(K7=2,K7=3,K7=4,K7=5),"",IF(('Phases Finales'!$I$8=""),"",VLOOKUP(B7,'Phases Finales'!$X$8:$AA$13,4,0))))</f>
        <v/>
      </c>
      <c r="O7" s="155" t="str">
        <f>IF(OR(N7="",N7=0),"",VLOOKUP(B7,'Phases Finales'!$AB$10:$AE$11,4,0))</f>
        <v/>
      </c>
      <c r="P7" s="152">
        <f>IF((E7=""),"",SUM(F7,L7,M7,N7,O7))</f>
        <v>2</v>
      </c>
    </row>
    <row r="8" spans="1:16" ht="24.95" customHeight="1">
      <c r="A8" s="445"/>
      <c r="B8" s="60" t="str">
        <f>+'Parties groupes_V'!I7</f>
        <v>BLACHIER Yvan</v>
      </c>
      <c r="C8" s="230">
        <f>INDEX('Parties groupes_V'!$K$6:$K$10,MATCH(B8,'Parties groupes_V'!$I$6:$I$10,0))</f>
        <v>0</v>
      </c>
      <c r="D8" s="161">
        <f>INDEX('Parties groupes_V'!$T$6:$T$10,MATCH(B8,'Parties groupes_V'!$R$6:$R$10,0))</f>
        <v>0</v>
      </c>
      <c r="E8" s="231">
        <f>INDEX('Parties groupes_V'!$AC$6:$AC$10,MATCH(B8,'Parties groupes_V'!$AA$6:$AA$10,0))</f>
        <v>0</v>
      </c>
      <c r="F8" s="61">
        <f>IF((C8=""),"",SUM(C8:E8))</f>
        <v>0</v>
      </c>
      <c r="G8" s="223" t="str">
        <f>IF(ISNA(MATCH(B8,'Parties groupes_V'!$AI$6:$AI$10,0)),"",INDEX('Parties groupes_V'!$AL$6:$AL$10,MATCH(B8,'Parties groupes_V'!$AI$6:$AI$10,0)))</f>
        <v/>
      </c>
      <c r="H8" s="161" t="str">
        <f>IF(ISNA(MATCH(B8,'Parties groupes_V'!$AI$6:$AI$10,0)),"",INDEX('Parties groupes_V'!$AM$6:$AM$10,MATCH(B8,'Parties groupes_V'!$AI$6:$AI$10,0)))</f>
        <v/>
      </c>
      <c r="I8" s="161" t="str">
        <f>IF((F8=0),"",(G8-H8))</f>
        <v/>
      </c>
      <c r="J8" s="231" t="str">
        <f>IF(ISNA(MATCH(B8,'Parties groupes_V'!$AI$6:$AI$10,0)),"",INDEX('Parties groupes_V'!$AO$6:$AO$10,MATCH(B8,'Parties groupes_V'!$AI$6:$AI$10,0)))</f>
        <v/>
      </c>
      <c r="K8" s="237" t="str">
        <f>IF(ISNA(MATCH(B8,'Parties groupes_V'!$AU$6:$AU$10,0)),"",INDEX('Parties groupes_V'!$AT$6:$AT$10,MATCH(B8,'Parties groupes_V'!$AU$6:$AU$10,0)))</f>
        <v/>
      </c>
      <c r="L8" s="237">
        <f>IF((D8=""),"",IF((K8=1),6,IF((K8=2),4,IF((K8=3),2,0))))</f>
        <v>0</v>
      </c>
      <c r="M8" s="241" t="str">
        <f>IF((K8=""),"",IF(OR(K8=1,K8=4,K8=5),"",IF(('Phases Finales'!$D$14=""),"",VLOOKUP(B8,'Phases Finales'!$T$7:$Z$14,4,0))))</f>
        <v/>
      </c>
      <c r="N8" s="59" t="str">
        <f>IF((K8=""),"",IF(OR(K8=2,K8=3,K8=4,K8=5),"",IF(('Phases Finales'!$I$8=""),"",VLOOKUP(B8,'Phases Finales'!$X$8:$AA$13,4,0))))</f>
        <v/>
      </c>
      <c r="O8" s="62" t="str">
        <f>IF(OR(N8="",N8=0),"",VLOOKUP(B8,'Phases Finales'!$AB$10:$AE$11,4,0))</f>
        <v/>
      </c>
      <c r="P8" s="151">
        <f>IF((E8=""),"",SUM(F8,L8,M8,N8,O8))</f>
        <v>0</v>
      </c>
    </row>
    <row r="9" spans="1:16" ht="24.95" customHeight="1">
      <c r="A9" s="445"/>
      <c r="B9" s="60" t="str">
        <f>+'Parties groupes_V'!I8</f>
        <v>GUILLEN BERNARD</v>
      </c>
      <c r="C9" s="230">
        <f>INDEX('Parties groupes_V'!$K$6:$K$10,MATCH(B9,'Parties groupes_V'!$I$6:$I$10,0))</f>
        <v>0</v>
      </c>
      <c r="D9" s="161">
        <f>INDEX('Parties groupes_V'!$T$6:$T$10,MATCH(B9,'Parties groupes_V'!$R$6:$R$10,0))</f>
        <v>2</v>
      </c>
      <c r="E9" s="231">
        <f>INDEX('Parties groupes_V'!$AC$6:$AC$10,MATCH(B9,'Parties groupes_V'!$AA$6:$AA$10,0))</f>
        <v>0</v>
      </c>
      <c r="F9" s="61">
        <f>IF((C9=""),"",SUM(C9:E9))</f>
        <v>2</v>
      </c>
      <c r="G9" s="224" t="str">
        <f>IF(ISNA(MATCH(B9,'Parties groupes_V'!$AI$6:$AI$10,0)),"",INDEX('Parties groupes_V'!$AL$6:$AL$10,MATCH(B9,'Parties groupes_V'!$AI$6:$AI$10,0)))</f>
        <v/>
      </c>
      <c r="H9" s="161" t="str">
        <f>IF(ISNA(MATCH(B9,'Parties groupes_V'!$AI$6:$AI$10,0)),"",INDEX('Parties groupes_V'!$AM$6:$AM$10,MATCH(B9,'Parties groupes_V'!$AI$6:$AI$10,0)))</f>
        <v/>
      </c>
      <c r="I9" s="161" t="e">
        <f>IF((F9=0),"",(G9-H9))</f>
        <v>#VALUE!</v>
      </c>
      <c r="J9" s="231" t="str">
        <f>IF(ISNA(MATCH(B9,'Parties groupes_V'!$AI$6:$AI$10,0)),"",INDEX('Parties groupes_V'!$AO$6:$AO$10,MATCH(B9,'Parties groupes_V'!$AI$6:$AI$10,0)))</f>
        <v/>
      </c>
      <c r="K9" s="238" t="str">
        <f>IF(ISNA(MATCH(B9,'Parties groupes_V'!$AU$6:$AU$10,0)),"",INDEX('Parties groupes_V'!$AT$6:$AT$10,MATCH(B9,'Parties groupes_V'!$AU$6:$AU$10,0)))</f>
        <v/>
      </c>
      <c r="L9" s="237">
        <f>IF((D9=""),"",IF((K9=1),6,IF((K9=2),4,IF((K9=3),2,0))))</f>
        <v>0</v>
      </c>
      <c r="M9" s="241" t="str">
        <f>IF((K9=""),"",IF(OR(K9=1,K9=4,K9=5),"",IF(('Phases Finales'!$D$14=""),"",VLOOKUP(B9,'Phases Finales'!$T$7:$Z$14,4,0))))</f>
        <v/>
      </c>
      <c r="N9" s="59" t="str">
        <f>IF((K9=""),"",IF(OR(K9=2,K9=3,K9=4,K9=5),"",IF(('Phases Finales'!$I$8=""),"",VLOOKUP(B9,'Phases Finales'!$X$8:$AA$13,4,0))))</f>
        <v/>
      </c>
      <c r="O9" s="62" t="str">
        <f>IF(OR(N9="",N9=0),"",VLOOKUP(B9,'Phases Finales'!$AB$10:$AE$11,4,0))</f>
        <v/>
      </c>
      <c r="P9" s="151">
        <f>IF((E9=""),"",SUM(F9,L9,M9,N9,O9))</f>
        <v>2</v>
      </c>
    </row>
    <row r="10" spans="1:16" ht="24.95" customHeight="1">
      <c r="A10" s="445"/>
      <c r="B10" s="60" t="str">
        <f>+'Parties groupes_V'!I9</f>
        <v>VERSINO Fabien</v>
      </c>
      <c r="C10" s="230">
        <f>INDEX('Parties groupes_V'!$K$6:$K$10,MATCH(B10,'Parties groupes_V'!$I$6:$I$10,0))</f>
        <v>0</v>
      </c>
      <c r="D10" s="161">
        <f>INDEX('Parties groupes_V'!$T$6:$T$10,MATCH(B10,'Parties groupes_V'!$R$6:$R$10,0))</f>
        <v>0</v>
      </c>
      <c r="E10" s="231">
        <f>INDEX('Parties groupes_V'!$AC$6:$AC$10,MATCH(B10,'Parties groupes_V'!$AA$6:$AA$10,0))</f>
        <v>0</v>
      </c>
      <c r="F10" s="61">
        <f>IF((C10=""),"",SUM(C10:E10))</f>
        <v>0</v>
      </c>
      <c r="G10" s="223" t="str">
        <f>IF(ISNA(MATCH(B10,'Parties groupes_V'!$AI$6:$AI$10,0)),"",INDEX('Parties groupes_V'!$AL$6:$AL$10,MATCH(B10,'Parties groupes_V'!$AI$6:$AI$10,0)))</f>
        <v/>
      </c>
      <c r="H10" s="161" t="str">
        <f>IF(ISNA(MATCH(B10,'Parties groupes_V'!$AI$6:$AI$10,0)),"",INDEX('Parties groupes_V'!$AM$6:$AM$10,MATCH(B10,'Parties groupes_V'!$AI$6:$AI$10,0)))</f>
        <v/>
      </c>
      <c r="I10" s="161" t="str">
        <f>IF((F10=0),"",(G10-H10))</f>
        <v/>
      </c>
      <c r="J10" s="231" t="str">
        <f>IF(ISNA(MATCH(B10,'Parties groupes_V'!$AI$6:$AI$10,0)),"",INDEX('Parties groupes_V'!$AO$6:$AO$10,MATCH(B10,'Parties groupes_V'!$AI$6:$AI$10,0)))</f>
        <v/>
      </c>
      <c r="K10" s="237" t="str">
        <f>IF(ISNA(MATCH(B10,'Parties groupes_V'!$AU$6:$AU$10,0)),"",INDEX('Parties groupes_V'!$AT$6:$AT$10,MATCH(B10,'Parties groupes_V'!$AU$6:$AU$10,0)))</f>
        <v/>
      </c>
      <c r="L10" s="237">
        <f>IF((D10=""),"",IF((K10=1),6,IF((K10=2),4,IF((K10=3),2,0))))</f>
        <v>0</v>
      </c>
      <c r="M10" s="241" t="str">
        <f>IF((K10=""),"",IF(OR(K10=1,K10=4,K10=5),"",IF(('Phases Finales'!$D$14=""),"",VLOOKUP(B10,'Phases Finales'!$T$7:$Z$14,4,0))))</f>
        <v/>
      </c>
      <c r="N10" s="59" t="str">
        <f>IF((K10=""),"",IF(OR(K10=2,K10=3,K10=4,K10=5),"",IF(('Phases Finales'!$I$8=""),"",VLOOKUP(B10,'Phases Finales'!$X$8:$AA$13,4,0))))</f>
        <v/>
      </c>
      <c r="O10" s="62" t="str">
        <f>IF(OR(N10="",N10=0),"",VLOOKUP(B10,'Phases Finales'!$AB$10:$AE$11,4,0))</f>
        <v/>
      </c>
      <c r="P10" s="151">
        <f>IF((E10=""),"",SUM(F10,L10,M10,N10,O10))</f>
        <v>0</v>
      </c>
    </row>
    <row r="11" spans="1:16" ht="24.95" customHeight="1" thickBot="1">
      <c r="A11" s="446"/>
      <c r="B11" s="160" t="str">
        <f>+'Parties groupes_V'!I10</f>
        <v>FONTANEL Julien</v>
      </c>
      <c r="C11" s="232">
        <f>INDEX('Parties groupes_V'!$K$6:$K$10,MATCH(B11,'Parties groupes_V'!$I$6:$I$10,0))</f>
        <v>2</v>
      </c>
      <c r="D11" s="233">
        <f>INDEX('Parties groupes_V'!$T$6:$T$10,MATCH(B11,'Parties groupes_V'!$R$6:$R$10,0))</f>
        <v>0</v>
      </c>
      <c r="E11" s="234">
        <f>INDEX('Parties groupes_V'!$AC$6:$AC$10,MATCH(B11,'Parties groupes_V'!$AA$6:$AA$10,0))</f>
        <v>0</v>
      </c>
      <c r="F11" s="63">
        <f>IF((C11=""),"",SUM(C11:E11))</f>
        <v>2</v>
      </c>
      <c r="G11" s="235">
        <f>IF(ISNA(MATCH(B11,'Parties groupes_V'!$AI$6:$AI$10,0)),"",INDEX('Parties groupes_V'!$AL$6:$AL$10,MATCH(B11,'Parties groupes_V'!$AI$6:$AI$10,0)))</f>
        <v>13</v>
      </c>
      <c r="H11" s="233">
        <f>IF(ISNA(MATCH(B11,'Parties groupes_V'!$AI$6:$AI$10,0)),"",INDEX('Parties groupes_V'!$AM$6:$AM$10,MATCH(B11,'Parties groupes_V'!$AI$6:$AI$10,0)))</f>
        <v>7</v>
      </c>
      <c r="I11" s="233">
        <f>IF((F11=0),"",(G11-H11))</f>
        <v>6</v>
      </c>
      <c r="J11" s="234">
        <f>IF(ISNA(MATCH(B11,'Parties groupes_V'!$AI$6:$AI$10,0)),"",INDEX('Parties groupes_V'!$AO$6:$AO$10,MATCH(B11,'Parties groupes_V'!$AI$6:$AI$10,0)))</f>
        <v>0</v>
      </c>
      <c r="K11" s="239">
        <f>IF(ISNA(MATCH(B11,'Parties groupes_V'!$AU$6:$AU$10,0)),"",INDEX('Parties groupes_V'!$AT$6:$AT$10,MATCH(B11,'Parties groupes_V'!$AU$6:$AU$10,0)))</f>
        <v>1</v>
      </c>
      <c r="L11" s="244">
        <f>IF((D11=""),"",IF((K11=1),6,IF((K11=2),4,IF((K11=3),2,0))))</f>
        <v>6</v>
      </c>
      <c r="M11" s="242" t="str">
        <f>IF((K11=""),"",IF(OR(K11=1,K11=4,K11=5),"",IF(('Phases Finales'!$D$14=""),"",VLOOKUP(B11,'Phases Finales'!$T$7:$Z$14,4,0))))</f>
        <v/>
      </c>
      <c r="N11" s="158" t="str">
        <f>IF((K11=""),"",IF(OR(K11=2,K11=3,K11=4,K11=5),"",IF(('Phases Finales'!$I$8=""),"",VLOOKUP(B11,'Phases Finales'!$X$8:$AA$13,4,0))))</f>
        <v/>
      </c>
      <c r="O11" s="64" t="str">
        <f>IF(OR(N11="",N11=0),"",VLOOKUP(B11,'Phases Finales'!$AB$10:$AE$11,4,0))</f>
        <v/>
      </c>
      <c r="P11" s="153">
        <f>IF((E11=""),"",SUM(F11,L11,M11,N11,O11))</f>
        <v>8</v>
      </c>
    </row>
    <row r="12" spans="1:16" ht="24.95" customHeight="1" thickBot="1">
      <c r="A12" s="65"/>
      <c r="B12" s="29"/>
      <c r="C12" s="46"/>
      <c r="D12" s="46"/>
      <c r="E12" s="46"/>
      <c r="F12" s="66"/>
      <c r="G12" s="42"/>
      <c r="H12" s="46"/>
      <c r="I12" s="294"/>
      <c r="J12" s="46"/>
      <c r="K12" s="46"/>
      <c r="L12" s="33"/>
      <c r="M12" s="33"/>
      <c r="N12" s="33"/>
      <c r="O12" s="33"/>
      <c r="P12" s="145"/>
    </row>
    <row r="13" spans="1:16" ht="24.95" customHeight="1">
      <c r="A13" s="444">
        <v>2</v>
      </c>
      <c r="B13" s="159" t="str">
        <f>+'Parties groupes_V'!I12</f>
        <v xml:space="preserve">RISSOAN Grégory </v>
      </c>
      <c r="C13" s="227">
        <f>INDEX('Parties groupes_V'!$K$12:$K$16,MATCH(B13,'Parties groupes_V'!$I$12:$I$16,0))</f>
        <v>0</v>
      </c>
      <c r="D13" s="228">
        <f>INDEX('Parties groupes_V'!$T$12:$T$16,MATCH(B13,'Parties groupes_V'!$R$12:$R$16,0))</f>
        <v>0</v>
      </c>
      <c r="E13" s="229">
        <f>INDEX('Parties groupes_V'!$AC$12:$AC$16,MATCH(B13,'Parties groupes_V'!$AA$12:$AA$16,0))</f>
        <v>2</v>
      </c>
      <c r="F13" s="219">
        <f>IF((C13=""),"",SUM(C13:E13))</f>
        <v>2</v>
      </c>
      <c r="G13" s="227" t="str">
        <f>IF(ISNA(MATCH(B13,'Parties groupes_V'!$AI$12:$AI$16,0)),"",INDEX('Parties groupes_V'!$AL$12:$AL$16,MATCH(B13,'Parties groupes_V'!$AI$12:$AI$16,0)))</f>
        <v/>
      </c>
      <c r="H13" s="228" t="str">
        <f>IF(ISNA(MATCH(B13,'Parties groupes_V'!$AI$12:$AI$16,0)),"",INDEX('Parties groupes_V'!$AM$12:$AM$16,MATCH(B13,'Parties groupes_V'!$AI$12:$AI$16,0)))</f>
        <v/>
      </c>
      <c r="I13" s="228" t="e">
        <f>IF((F13=0),"",(G13-H13))</f>
        <v>#VALUE!</v>
      </c>
      <c r="J13" s="229" t="str">
        <f>IF(ISNA(MATCH(B13,'Parties groupes_V'!$AI$12:$AI$16,0)),"",INDEX('Parties groupes_V'!$AO$12:$AO$16,MATCH(B13,'Parties groupes_V'!$AI$12:$AI$16,0)))</f>
        <v/>
      </c>
      <c r="K13" s="236" t="str">
        <f>IF(ISNA(MATCH(B13,'Parties groupes_V'!$AU$12:$AU$16,0)),"",INDEX('Parties groupes_V'!$AT$12:$AT$16,MATCH(B13,'Parties groupes_V'!$AU$12:$AU$16,0)))</f>
        <v/>
      </c>
      <c r="L13" s="243">
        <f>IF((D13=""),"",IF((K13=1),6,IF((K13=2),4,IF((K13=3),2,0))))</f>
        <v>0</v>
      </c>
      <c r="M13" s="240" t="str">
        <f>IF((K13=""),"",IF(OR(K13=1,K13=4,K13=5),"",IF(('Phases Finales'!$D$14=""),"",VLOOKUP(B13,'Phases Finales'!$T$7:$Z$14,4,0))))</f>
        <v/>
      </c>
      <c r="N13" s="157" t="str">
        <f>IF((K13=""),"",IF(OR(K13=2,K13=3,K13=4,K13=5),"",IF(('Phases Finales'!$I$8=""),"",VLOOKUP(B13,'Phases Finales'!$X$8:$AA$13,4,0))))</f>
        <v/>
      </c>
      <c r="O13" s="155" t="str">
        <f>IF(OR(N13="",N13=0),"",VLOOKUP(B13,'Phases Finales'!$AB$10:$AE$11,4,0))</f>
        <v/>
      </c>
      <c r="P13" s="152">
        <f>IF((E13=""),"",SUM(F13,L13,M13,N13,O13))</f>
        <v>2</v>
      </c>
    </row>
    <row r="14" spans="1:16" ht="24.95" customHeight="1">
      <c r="A14" s="445"/>
      <c r="B14" s="60" t="str">
        <f>+'Parties groupes_V'!I13</f>
        <v>DEMENUS Robin</v>
      </c>
      <c r="C14" s="230">
        <f>INDEX('Parties groupes_V'!$K$12:$K$16,MATCH(B14,'Parties groupes_V'!$I$12:$I$16,0))</f>
        <v>0</v>
      </c>
      <c r="D14" s="161">
        <f>INDEX('Parties groupes_V'!$T$12:$T$16,MATCH(B14,'Parties groupes_V'!$R$12:$R$16,0))</f>
        <v>0</v>
      </c>
      <c r="E14" s="231">
        <f>INDEX('Parties groupes_V'!$AC$12:$AC$16,MATCH(B14,'Parties groupes_V'!$AA$12:$AA$16,0))</f>
        <v>0</v>
      </c>
      <c r="F14" s="220">
        <f>IF((C14=""),"",SUM(C14:E14))</f>
        <v>0</v>
      </c>
      <c r="G14" s="230" t="str">
        <f>IF(ISNA(MATCH(B14,'Parties groupes_V'!$AI$12:$AI$16,0)),"",INDEX('Parties groupes_V'!$AL$12:$AL$16,MATCH(B14,'Parties groupes_V'!$AI$12:$AI$16,0)))</f>
        <v/>
      </c>
      <c r="H14" s="161" t="str">
        <f>IF(ISNA(MATCH(B14,'Parties groupes_V'!$AI$12:$AI$16,0)),"",INDEX('Parties groupes_V'!$AM$12:$AM$16,MATCH(B14,'Parties groupes_V'!$AI$12:$AI$16,0)))</f>
        <v/>
      </c>
      <c r="I14" s="161" t="str">
        <f>IF((F14=0),"",(G14-H14))</f>
        <v/>
      </c>
      <c r="J14" s="231" t="str">
        <f>IF(ISNA(MATCH(B14,'Parties groupes_V'!$AI$12:$AI$16,0)),"",INDEX('Parties groupes_V'!$AO$12:$AO$16,MATCH(B14,'Parties groupes_V'!$AI$12:$AI$16,0)))</f>
        <v/>
      </c>
      <c r="K14" s="237" t="str">
        <f>IF(ISNA(MATCH(B14,'Parties groupes_V'!$AU$12:$AU$16,0)),"",INDEX('Parties groupes_V'!$AT$12:$AT$16,MATCH(B14,'Parties groupes_V'!$AU$12:$AU$16,0)))</f>
        <v/>
      </c>
      <c r="L14" s="237">
        <f>IF((D14=""),"",IF((K14=1),6,IF((K14=2),4,IF((K14=3),2,0))))</f>
        <v>0</v>
      </c>
      <c r="M14" s="241" t="str">
        <f>IF((K14=""),"",IF(OR(K14=1,K14=4,K14=5),"",IF(('Phases Finales'!$D$14=""),"",VLOOKUP(B14,'Phases Finales'!$T$7:$Z$14,4,0))))</f>
        <v/>
      </c>
      <c r="N14" s="59" t="str">
        <f>IF((K14=""),"",IF(OR(K14=2,K14=3,K14=4,K14=5),"",IF(('Phases Finales'!$I$8=""),"",VLOOKUP(B14,'Phases Finales'!$X$8:$AA$13,4,0))))</f>
        <v/>
      </c>
      <c r="O14" s="62" t="str">
        <f>IF(OR(N14="",N14=0),"",VLOOKUP(B14,'Phases Finales'!$AB$10:$AE$11,4,0))</f>
        <v/>
      </c>
      <c r="P14" s="151">
        <f>IF((E14=""),"",SUM(F14,L14,M14,N14,O14))</f>
        <v>0</v>
      </c>
    </row>
    <row r="15" spans="1:16" ht="24.95" customHeight="1">
      <c r="A15" s="445"/>
      <c r="B15" s="60" t="str">
        <f>+'Parties groupes_V'!I14</f>
        <v>POULAILLON Philippe</v>
      </c>
      <c r="C15" s="230">
        <f>INDEX('Parties groupes_V'!$K$12:$K$16,MATCH(B15,'Parties groupes_V'!$I$12:$I$16,0))</f>
        <v>0</v>
      </c>
      <c r="D15" s="161">
        <f>INDEX('Parties groupes_V'!$T$12:$T$16,MATCH(B15,'Parties groupes_V'!$R$12:$R$16,0))</f>
        <v>2</v>
      </c>
      <c r="E15" s="231">
        <f>INDEX('Parties groupes_V'!$AC$12:$AC$16,MATCH(B15,'Parties groupes_V'!$AA$12:$AA$16,0))</f>
        <v>0</v>
      </c>
      <c r="F15" s="220">
        <f>IF((C15=""),"",SUM(C15:E15))</f>
        <v>2</v>
      </c>
      <c r="G15" s="230" t="str">
        <f>IF(ISNA(MATCH(B15,'Parties groupes_V'!$AI$12:$AI$16,0)),"",INDEX('Parties groupes_V'!$AL$12:$AL$16,MATCH(B15,'Parties groupes_V'!$AI$12:$AI$16,0)))</f>
        <v/>
      </c>
      <c r="H15" s="161" t="str">
        <f>IF(ISNA(MATCH(B15,'Parties groupes_V'!$AI$12:$AI$16,0)),"",INDEX('Parties groupes_V'!$AM$12:$AM$16,MATCH(B15,'Parties groupes_V'!$AI$12:$AI$16,0)))</f>
        <v/>
      </c>
      <c r="I15" s="161" t="e">
        <f>IF((F15=0),"",(G15-H15))</f>
        <v>#VALUE!</v>
      </c>
      <c r="J15" s="231" t="str">
        <f>IF(ISNA(MATCH(B15,'Parties groupes_V'!$AI$12:$AI$16,0)),"",INDEX('Parties groupes_V'!$AO$12:$AO$16,MATCH(B15,'Parties groupes_V'!$AI$12:$AI$16,0)))</f>
        <v/>
      </c>
      <c r="K15" s="238" t="str">
        <f>IF(ISNA(MATCH(B15,'Parties groupes_V'!$AU$12:$AU$16,0)),"",INDEX('Parties groupes_V'!$AT$12:$AT$16,MATCH(B15,'Parties groupes_V'!$AU$12:$AU$16,0)))</f>
        <v/>
      </c>
      <c r="L15" s="237">
        <f>IF((D15=""),"",IF((K15=1),6,IF((K15=2),4,IF((K15=3),2,0))))</f>
        <v>0</v>
      </c>
      <c r="M15" s="241" t="str">
        <f>IF((K15=""),"",IF(OR(K15=1,K15=4,K15=5),"",IF(('Phases Finales'!$D$14=""),"",VLOOKUP(B15,'Phases Finales'!$T$7:$Z$14,4,0))))</f>
        <v/>
      </c>
      <c r="N15" s="59" t="str">
        <f>IF((K15=""),"",IF(OR(K15=2,K15=3,K15=4,K15=5),"",IF(('Phases Finales'!$I$8=""),"",VLOOKUP(B15,'Phases Finales'!$X$8:$AA$13,4,0))))</f>
        <v/>
      </c>
      <c r="O15" s="62" t="str">
        <f>IF(OR(N15="",N15=0),"",VLOOKUP(B15,'Phases Finales'!$AB$10:$AE$11,4,0))</f>
        <v/>
      </c>
      <c r="P15" s="151">
        <f>IF((E15=""),"",SUM(F15,L15,M15,N15,O15))</f>
        <v>2</v>
      </c>
    </row>
    <row r="16" spans="1:16" ht="24.95" customHeight="1">
      <c r="A16" s="445"/>
      <c r="B16" s="60" t="str">
        <f>+'Parties groupes_V'!I15</f>
        <v>SERVY Jérome</v>
      </c>
      <c r="C16" s="230">
        <f>INDEX('Parties groupes_V'!$K$12:$K$16,MATCH(B16,'Parties groupes_V'!$I$12:$I$16,0))</f>
        <v>0</v>
      </c>
      <c r="D16" s="161">
        <f>INDEX('Parties groupes_V'!$T$12:$T$16,MATCH(B16,'Parties groupes_V'!$R$12:$R$16,0))</f>
        <v>0</v>
      </c>
      <c r="E16" s="231">
        <f>INDEX('Parties groupes_V'!$AC$12:$AC$16,MATCH(B16,'Parties groupes_V'!$AA$12:$AA$16,0))</f>
        <v>0</v>
      </c>
      <c r="F16" s="220">
        <f>IF((C16=""),"",SUM(C16:E16))</f>
        <v>0</v>
      </c>
      <c r="G16" s="230" t="str">
        <f>IF(ISNA(MATCH(B16,'Parties groupes_V'!$AI$12:$AI$16,0)),"",INDEX('Parties groupes_V'!$AL$12:$AL$16,MATCH(B16,'Parties groupes_V'!$AI$12:$AI$16,0)))</f>
        <v/>
      </c>
      <c r="H16" s="161" t="str">
        <f>IF(ISNA(MATCH(B16,'Parties groupes_V'!$AI$12:$AI$16,0)),"",INDEX('Parties groupes_V'!$AM$12:$AM$16,MATCH(B16,'Parties groupes_V'!$AI$12:$AI$16,0)))</f>
        <v/>
      </c>
      <c r="I16" s="161" t="str">
        <f>IF((F16=0),"",(G16-H16))</f>
        <v/>
      </c>
      <c r="J16" s="231" t="str">
        <f>IF(ISNA(MATCH(B16,'Parties groupes_V'!$AI$12:$AI$16,0)),"",INDEX('Parties groupes_V'!$AO$12:$AO$16,MATCH(B16,'Parties groupes_V'!$AI$12:$AI$16,0)))</f>
        <v/>
      </c>
      <c r="K16" s="237" t="str">
        <f>IF(ISNA(MATCH(B16,'Parties groupes_V'!$AU$12:$AU$16,0)),"",INDEX('Parties groupes_V'!$AT$12:$AT$16,MATCH(B16,'Parties groupes_V'!$AU$12:$AU$16,0)))</f>
        <v/>
      </c>
      <c r="L16" s="237">
        <f>IF((D16=""),"",IF((K16=1),6,IF((K16=2),4,IF((K16=3),2,0))))</f>
        <v>0</v>
      </c>
      <c r="M16" s="241" t="str">
        <f>IF((K16=""),"",IF(OR(K16=1,K16=4,K16=5),"",IF(('Phases Finales'!$D$14=""),"",VLOOKUP(B16,'Phases Finales'!$T$7:$Z$14,4,0))))</f>
        <v/>
      </c>
      <c r="N16" s="59" t="str">
        <f>IF((K16=""),"",IF(OR(K16=2,K16=3,K16=4,K16=5),"",IF(('Phases Finales'!$I$8=""),"",VLOOKUP(B16,'Phases Finales'!$X$8:$AA$13,4,0))))</f>
        <v/>
      </c>
      <c r="O16" s="62" t="str">
        <f>IF(OR(N16="",N16=0),"",VLOOKUP(B16,'Phases Finales'!$AB$10:$AE$11,4,0))</f>
        <v/>
      </c>
      <c r="P16" s="151">
        <f>IF((E16=""),"",SUM(F16,L16,M16,N16,O16))</f>
        <v>0</v>
      </c>
    </row>
    <row r="17" spans="1:16" ht="24.95" customHeight="1" thickBot="1">
      <c r="A17" s="446"/>
      <c r="B17" s="160" t="str">
        <f>+'Parties groupes_V'!I16</f>
        <v>GRAND Emmanuel</v>
      </c>
      <c r="C17" s="232">
        <f>INDEX('Parties groupes_V'!$K$12:$K$16,MATCH(B17,'Parties groupes_V'!$I$12:$I$16,0))</f>
        <v>2</v>
      </c>
      <c r="D17" s="233">
        <f>INDEX('Parties groupes_V'!$T$12:$T$16,MATCH(B17,'Parties groupes_V'!$R$12:$R$16,0))</f>
        <v>0</v>
      </c>
      <c r="E17" s="234">
        <f>INDEX('Parties groupes_V'!$AC$12:$AC$16,MATCH(B17,'Parties groupes_V'!$AA$12:$AA$16,0))</f>
        <v>0</v>
      </c>
      <c r="F17" s="221">
        <f>IF((C17=""),"",SUM(C17:E17))</f>
        <v>2</v>
      </c>
      <c r="G17" s="232">
        <f>IF(ISNA(MATCH(B17,'Parties groupes_V'!$AI$12:$AI$16,0)),"",INDEX('Parties groupes_V'!$AL$12:$AL$16,MATCH(B17,'Parties groupes_V'!$AI$12:$AI$16,0)))</f>
        <v>13</v>
      </c>
      <c r="H17" s="233">
        <f>IF(ISNA(MATCH(B17,'Parties groupes_V'!$AI$12:$AI$16,0)),"",INDEX('Parties groupes_V'!$AM$12:$AM$16,MATCH(B17,'Parties groupes_V'!$AI$12:$AI$16,0)))</f>
        <v>7</v>
      </c>
      <c r="I17" s="233">
        <f>IF((F17=0),"",(G17-H17))</f>
        <v>6</v>
      </c>
      <c r="J17" s="234">
        <f>IF(ISNA(MATCH(B17,'Parties groupes_V'!$AI$12:$AI$16,0)),"",INDEX('Parties groupes_V'!$AO$12:$AO$16,MATCH(B17,'Parties groupes_V'!$AI$12:$AI$16,0)))</f>
        <v>0</v>
      </c>
      <c r="K17" s="239">
        <f>IF(ISNA(MATCH(B17,'Parties groupes_V'!$AU$12:$AU$16,0)),"",INDEX('Parties groupes_V'!$AT$12:$AT$16,MATCH(B17,'Parties groupes_V'!$AU$12:$AU$16,0)))</f>
        <v>1</v>
      </c>
      <c r="L17" s="244">
        <f>IF((D17=""),"",IF((K17=1),6,IF((K17=2),4,IF((K17=3),2,0))))</f>
        <v>6</v>
      </c>
      <c r="M17" s="242" t="str">
        <f>IF((K17=""),"",IF(OR(K17=1,K17=4,K17=5),"",IF(('Phases Finales'!$D$14=""),"",VLOOKUP(B17,'Phases Finales'!$T$7:$Z$14,4,0))))</f>
        <v/>
      </c>
      <c r="N17" s="158" t="str">
        <f>IF((K17=""),"",IF(OR(K17=2,K17=3,K17=4,K17=5),"",IF(('Phases Finales'!$I$8=""),"",VLOOKUP(B17,'Phases Finales'!$X$8:$AA$13,4,0))))</f>
        <v/>
      </c>
      <c r="O17" s="64" t="str">
        <f>IF(OR(N17="",N17=0),"",VLOOKUP(B17,'Phases Finales'!$AB$10:$AE$11,4,0))</f>
        <v/>
      </c>
      <c r="P17" s="153">
        <f>IF((E17=""),"",SUM(F17,L17,M17,N17,O17))</f>
        <v>8</v>
      </c>
    </row>
    <row r="18" spans="1:16" ht="24.95" customHeight="1" thickBot="1">
      <c r="A18" s="65"/>
      <c r="B18" s="45"/>
      <c r="C18" s="46"/>
      <c r="D18" s="46"/>
      <c r="E18" s="46"/>
      <c r="F18" s="66"/>
      <c r="G18" s="42"/>
      <c r="H18" s="46"/>
      <c r="I18" s="294"/>
      <c r="J18" s="46"/>
      <c r="K18" s="46"/>
      <c r="L18" s="33"/>
      <c r="M18" s="33"/>
      <c r="N18" s="33"/>
      <c r="O18" s="33"/>
      <c r="P18" s="145"/>
    </row>
    <row r="19" spans="1:16" ht="24.95" customHeight="1">
      <c r="A19" s="444">
        <v>3</v>
      </c>
      <c r="B19" s="159" t="str">
        <f>+'Parties groupes_V'!I18</f>
        <v>GAILLARD Jean Louis</v>
      </c>
      <c r="C19" s="227">
        <f>INDEX('Parties groupes_V'!$K$18:$K$22,MATCH(B19,'Parties groupes_V'!$I$18:$I$22,0))</f>
        <v>0</v>
      </c>
      <c r="D19" s="228">
        <f>INDEX('Parties groupes_V'!$T$18:$T$22,MATCH(B19,'Parties groupes_V'!$R$18:$R$22,0))</f>
        <v>0</v>
      </c>
      <c r="E19" s="229">
        <f>INDEX('Parties groupes_V'!$AC$18:$AC$22,MATCH(B19,'Parties groupes_V'!$AA$18:$AA$22,0))</f>
        <v>2</v>
      </c>
      <c r="F19" s="219">
        <f>IF((C19=""),"",SUM(C19:E19))</f>
        <v>2</v>
      </c>
      <c r="G19" s="227" t="str">
        <f>IF(ISNA(MATCH(B19,'Parties groupes_V'!$AI$18:$AI$22,0)),"",INDEX('Parties groupes_V'!$AL$18:$AL$22,MATCH(B19,'Parties groupes_V'!$AI$18:$AI$22,0)))</f>
        <v/>
      </c>
      <c r="H19" s="228" t="str">
        <f>IF(ISNA(MATCH(B19,'Parties groupes_V'!$AI$18:$AI$22,0)),"",INDEX('Parties groupes_V'!$AM$18:$AM$22,MATCH(B19,'Parties groupes_V'!$AI$18:$AI$22,0)))</f>
        <v/>
      </c>
      <c r="I19" s="228" t="e">
        <f>IF((F19=0),"",(G19-H19))</f>
        <v>#VALUE!</v>
      </c>
      <c r="J19" s="229" t="str">
        <f>IF(ISNA(MATCH(B19,'Parties groupes_V'!$AI$18:$AI$22,0)),"",INDEX('Parties groupes_V'!$AO$18:$AO$22,MATCH(B19,'Parties groupes_V'!$AI$18:$AI$22,0)))</f>
        <v/>
      </c>
      <c r="K19" s="236" t="str">
        <f>IF(ISNA(MATCH(B19,'Parties groupes_V'!$AU$18:$AU$22,0)),"",INDEX('Parties groupes_V'!$AT$18:$AT$22,MATCH(B19,'Parties groupes_V'!$AU$18:$AU$22,0)))</f>
        <v/>
      </c>
      <c r="L19" s="245">
        <f>IF((D19=""),"",IF((K19=1),6,IF((K19=2),4,IF((K19=3),2,0))))</f>
        <v>0</v>
      </c>
      <c r="M19" s="240" t="str">
        <f>IF((K19=""),"",IF(OR(K19=1,K19=4,K19=5),"",IF(('Phases Finales'!$D$14=""),"",VLOOKUP(B19,'Phases Finales'!$T$7:$Z$14,4,0))))</f>
        <v/>
      </c>
      <c r="N19" s="157" t="str">
        <f>IF((K19=""),"",IF(OR(K19=2,K19=3,K19=4,K19=5),"",IF(('Phases Finales'!$I$14=""),"",VLOOKUP(B19,'Phases Finales'!$X$8:$AA$13,4,0))))</f>
        <v/>
      </c>
      <c r="O19" s="155" t="str">
        <f>IF(OR(N19="",N19=0),"",VLOOKUP(B19,'Phases Finales'!$AB$10:$AE$11,4,0))</f>
        <v/>
      </c>
      <c r="P19" s="152">
        <f>IF((E19=""),"",SUM(F19,L19,M19,N19,O19))</f>
        <v>2</v>
      </c>
    </row>
    <row r="20" spans="1:16" ht="24.95" customHeight="1">
      <c r="A20" s="445"/>
      <c r="B20" s="60" t="str">
        <f>+'Parties groupes_V'!I19</f>
        <v>MARION Fabrice</v>
      </c>
      <c r="C20" s="230">
        <f>INDEX('Parties groupes_V'!$K$18:$K$22,MATCH(B20,'Parties groupes_V'!$I$18:$I$22,0))</f>
        <v>0</v>
      </c>
      <c r="D20" s="161">
        <f>INDEX('Parties groupes_V'!$T$18:$T$22,MATCH(B20,'Parties groupes_V'!$R$18:$R$22,0))</f>
        <v>0</v>
      </c>
      <c r="E20" s="231">
        <f>INDEX('Parties groupes_V'!$AC$18:$AC$22,MATCH(B20,'Parties groupes_V'!$AA$18:$AA$22,0))</f>
        <v>0</v>
      </c>
      <c r="F20" s="220">
        <f>IF((C20=""),"",SUM(C20:E20))</f>
        <v>0</v>
      </c>
      <c r="G20" s="230" t="str">
        <f>IF(ISNA(MATCH(B20,'Parties groupes_V'!$AI$18:$AI$22,0)),"",INDEX('Parties groupes_V'!$AL$18:$AL$22,MATCH(B20,'Parties groupes_V'!$AI$18:$AI$22,0)))</f>
        <v/>
      </c>
      <c r="H20" s="161" t="str">
        <f>IF(ISNA(MATCH(B20,'Parties groupes_V'!$AI$18:$AI$22,0)),"",INDEX('Parties groupes_V'!$AM$18:$AM$22,MATCH(B20,'Parties groupes_V'!$AI$18:$AI$22,0)))</f>
        <v/>
      </c>
      <c r="I20" s="161" t="str">
        <f>IF((F20=0),"",(G20-H20))</f>
        <v/>
      </c>
      <c r="J20" s="231" t="str">
        <f>IF(ISNA(MATCH(B20,'Parties groupes_V'!$AI$18:$AI$22,0)),"",INDEX('Parties groupes_V'!$AO$18:$AO$22,MATCH(B20,'Parties groupes_V'!$AI$18:$AI$22,0)))</f>
        <v/>
      </c>
      <c r="K20" s="237" t="str">
        <f>IF(ISNA(MATCH(B20,'Parties groupes_V'!$AU$18:$AU$22,0)),"",INDEX('Parties groupes_V'!$AT$18:$AT$22,MATCH(B20,'Parties groupes_V'!$AU$18:$AU$22,0)))</f>
        <v/>
      </c>
      <c r="L20" s="237">
        <f t="shared" ref="L20:L23" si="0">IF((D20=""),"",IF((K20=1),6,IF((K20=2),4,IF((K20=3),2,0))))</f>
        <v>0</v>
      </c>
      <c r="M20" s="241" t="str">
        <f>IF((K20=""),"",IF(OR(K20=1,K20=4,K20=5),"",IF(('Phases Finales'!$D$14=""),"",VLOOKUP(B20,'Phases Finales'!$T$7:$Z$14,4,0))))</f>
        <v/>
      </c>
      <c r="N20" s="59" t="str">
        <f>IF((K20=""),"",IF(OR(K20=2,K20=3,K20=4,K20=5),"",IF(('Phases Finales'!$I$14=""),"",VLOOKUP(B20,'Phases Finales'!$X$8:$AA$13,4,0))))</f>
        <v/>
      </c>
      <c r="O20" s="62" t="str">
        <f>IF(OR(N20="",N20=0),"",VLOOKUP(B20,'Phases Finales'!$AB$10:$AE$11,4,0))</f>
        <v/>
      </c>
      <c r="P20" s="151">
        <f>IF((E20=""),"",SUM(F20,L20,M20,N20,O20))</f>
        <v>0</v>
      </c>
    </row>
    <row r="21" spans="1:16" ht="24.95" customHeight="1">
      <c r="A21" s="445"/>
      <c r="B21" s="60" t="str">
        <f>+'Parties groupes_V'!I20</f>
        <v>DEMARS Mickael</v>
      </c>
      <c r="C21" s="230">
        <f>INDEX('Parties groupes_V'!$K$18:$K$22,MATCH(B21,'Parties groupes_V'!$I$18:$I$22,0))</f>
        <v>0</v>
      </c>
      <c r="D21" s="161">
        <f>INDEX('Parties groupes_V'!$T$18:$T$22,MATCH(B21,'Parties groupes_V'!$R$18:$R$22,0))</f>
        <v>2</v>
      </c>
      <c r="E21" s="231">
        <f>INDEX('Parties groupes_V'!$AC$18:$AC$22,MATCH(B21,'Parties groupes_V'!$AA$18:$AA$22,0))</f>
        <v>0</v>
      </c>
      <c r="F21" s="220">
        <f>IF((C21=""),"",SUM(C21:E21))</f>
        <v>2</v>
      </c>
      <c r="G21" s="230" t="str">
        <f>IF(ISNA(MATCH(B21,'Parties groupes_V'!$AI$18:$AI$22,0)),"",INDEX('Parties groupes_V'!$AL$18:$AL$22,MATCH(B21,'Parties groupes_V'!$AI$18:$AI$22,0)))</f>
        <v/>
      </c>
      <c r="H21" s="161" t="str">
        <f>IF(ISNA(MATCH(B21,'Parties groupes_V'!$AI$18:$AI$22,0)),"",INDEX('Parties groupes_V'!$AM$18:$AM$22,MATCH(B21,'Parties groupes_V'!$AI$18:$AI$22,0)))</f>
        <v/>
      </c>
      <c r="I21" s="161" t="e">
        <f>IF((F21=0),"",(G21-H21))</f>
        <v>#VALUE!</v>
      </c>
      <c r="J21" s="231" t="str">
        <f>IF(ISNA(MATCH(B21,'Parties groupes_V'!$AI$18:$AI$22,0)),"",INDEX('Parties groupes_V'!$AO$18:$AO$22,MATCH(B21,'Parties groupes_V'!$AI$18:$AI$22,0)))</f>
        <v/>
      </c>
      <c r="K21" s="238" t="str">
        <f>IF(ISNA(MATCH(B21,'Parties groupes_V'!$AU$18:$AU$22,0)),"",INDEX('Parties groupes_V'!$AT$18:$AT$22,MATCH(B21,'Parties groupes_V'!$AU$18:$AU$22,0)))</f>
        <v/>
      </c>
      <c r="L21" s="237">
        <f t="shared" si="0"/>
        <v>0</v>
      </c>
      <c r="M21" s="241" t="str">
        <f>IF((K21=""),"",IF(OR(K21=1,K21=4,K21=5),"",IF(('Phases Finales'!$D$14=""),"",VLOOKUP(B21,'Phases Finales'!$T$7:$Z$14,4,0))))</f>
        <v/>
      </c>
      <c r="N21" s="59" t="str">
        <f>IF((K21=""),"",IF(OR(K21=2,K21=3,K21=4,K21=5),"",IF(('Phases Finales'!$I$14=""),"",VLOOKUP(B21,'Phases Finales'!$X$8:$AA$13,4,0))))</f>
        <v/>
      </c>
      <c r="O21" s="62" t="str">
        <f>IF(OR(N21="",N21=0),"",VLOOKUP(B21,'Phases Finales'!$AB$10:$AE$11,4,0))</f>
        <v/>
      </c>
      <c r="P21" s="151">
        <f>IF((E21=""),"",SUM(F21,L21,M21,N21,O21))</f>
        <v>2</v>
      </c>
    </row>
    <row r="22" spans="1:16" ht="24.95" customHeight="1">
      <c r="A22" s="445"/>
      <c r="B22" s="60" t="str">
        <f>+'Parties groupes_V'!I21</f>
        <v>REYNAUD Corentin</v>
      </c>
      <c r="C22" s="230">
        <f>INDEX('Parties groupes_V'!$K$18:$K$22,MATCH(B22,'Parties groupes_V'!$I$18:$I$22,0))</f>
        <v>0</v>
      </c>
      <c r="D22" s="161">
        <f>INDEX('Parties groupes_V'!$T$18:$T$22,MATCH(B22,'Parties groupes_V'!$R$18:$R$22,0))</f>
        <v>0</v>
      </c>
      <c r="E22" s="231">
        <f>INDEX('Parties groupes_V'!$AC$18:$AC$22,MATCH(B22,'Parties groupes_V'!$AA$18:$AA$22,0))</f>
        <v>0</v>
      </c>
      <c r="F22" s="220">
        <f>IF((C22=""),"",SUM(C22:E22))</f>
        <v>0</v>
      </c>
      <c r="G22" s="230" t="str">
        <f>IF(ISNA(MATCH(B22,'Parties groupes_V'!$AI$18:$AI$22,0)),"",INDEX('Parties groupes_V'!$AL$18:$AL$22,MATCH(B22,'Parties groupes_V'!$AI$18:$AI$22,0)))</f>
        <v/>
      </c>
      <c r="H22" s="161" t="str">
        <f>IF(ISNA(MATCH(B22,'Parties groupes_V'!$AI$18:$AI$22,0)),"",INDEX('Parties groupes_V'!$AM$18:$AM$22,MATCH(B22,'Parties groupes_V'!$AI$18:$AI$22,0)))</f>
        <v/>
      </c>
      <c r="I22" s="161" t="str">
        <f>IF((F22=0),"",(G22-H22))</f>
        <v/>
      </c>
      <c r="J22" s="231" t="str">
        <f>IF(ISNA(MATCH(B22,'Parties groupes_V'!$AI$18:$AI$22,0)),"",INDEX('Parties groupes_V'!$AO$18:$AO$22,MATCH(B22,'Parties groupes_V'!$AI$18:$AI$22,0)))</f>
        <v/>
      </c>
      <c r="K22" s="237" t="str">
        <f>IF(ISNA(MATCH(B22,'Parties groupes_V'!$AU$18:$AU$22,0)),"",INDEX('Parties groupes_V'!$AT$18:$AT$22,MATCH(B22,'Parties groupes_V'!$AU$18:$AU$22,0)))</f>
        <v/>
      </c>
      <c r="L22" s="237">
        <f t="shared" si="0"/>
        <v>0</v>
      </c>
      <c r="M22" s="241" t="str">
        <f>IF((K22=""),"",IF(OR(K22=1,K22=4,K22=5),"",IF(('Phases Finales'!$D$14=""),"",VLOOKUP(B22,'Phases Finales'!$T$7:$Z$14,4,0))))</f>
        <v/>
      </c>
      <c r="N22" s="59" t="str">
        <f>IF((K22=""),"",IF(OR(K22=2,K22=3,K22=4,K22=5),"",IF(('Phases Finales'!$I$14=""),"",VLOOKUP(B22,'Phases Finales'!$X$8:$AA$13,4,0))))</f>
        <v/>
      </c>
      <c r="O22" s="62" t="str">
        <f>IF(OR(N22="",N22=0),"",VLOOKUP(B22,'Phases Finales'!$AB$10:$AE$11,4,0))</f>
        <v/>
      </c>
      <c r="P22" s="151">
        <f>IF((E22=""),"",SUM(F22,L22,M22,N22,O22))</f>
        <v>0</v>
      </c>
    </row>
    <row r="23" spans="1:16" ht="24.95" customHeight="1" thickBot="1">
      <c r="A23" s="446"/>
      <c r="B23" s="160" t="str">
        <f>+'Parties groupes_V'!I22</f>
        <v xml:space="preserve">MAIRE Gaël </v>
      </c>
      <c r="C23" s="232">
        <f>INDEX('Parties groupes_V'!$K$18:$K$22,MATCH(B23,'Parties groupes_V'!$I$18:$I$22,0))</f>
        <v>2</v>
      </c>
      <c r="D23" s="233">
        <f>INDEX('Parties groupes_V'!$T$18:$T$22,MATCH(B23,'Parties groupes_V'!$R$18:$R$22,0))</f>
        <v>0</v>
      </c>
      <c r="E23" s="234">
        <f>INDEX('Parties groupes_V'!$AC$18:$AC$22,MATCH(B23,'Parties groupes_V'!$AA$18:$AA$22,0))</f>
        <v>0</v>
      </c>
      <c r="F23" s="221">
        <f>IF((C23=""),"",SUM(C23:E23))</f>
        <v>2</v>
      </c>
      <c r="G23" s="232">
        <f>IF(ISNA(MATCH(B23,'Parties groupes_V'!$AI$18:$AI$22,0)),"",INDEX('Parties groupes_V'!$AL$18:$AL$22,MATCH(B23,'Parties groupes_V'!$AI$18:$AI$22,0)))</f>
        <v>13</v>
      </c>
      <c r="H23" s="233">
        <f>IF(ISNA(MATCH(B23,'Parties groupes_V'!$AI$18:$AI$22,0)),"",INDEX('Parties groupes_V'!$AM$18:$AM$22,MATCH(B23,'Parties groupes_V'!$AI$18:$AI$22,0)))</f>
        <v>7</v>
      </c>
      <c r="I23" s="233">
        <f>IF((F23=0),"",(G23-H23))</f>
        <v>6</v>
      </c>
      <c r="J23" s="234">
        <f>IF(ISNA(MATCH(B23,'Parties groupes_V'!$AI$18:$AI$22,0)),"",INDEX('Parties groupes_V'!$AO$18:$AO$22,MATCH(B23,'Parties groupes_V'!$AI$18:$AI$22,0)))</f>
        <v>0</v>
      </c>
      <c r="K23" s="239">
        <f>IF(ISNA(MATCH(B23,'Parties groupes_V'!$AU$18:$AU$22,0)),"",INDEX('Parties groupes_V'!$AT$18:$AT$22,MATCH(B23,'Parties groupes_V'!$AU$18:$AU$22,0)))</f>
        <v>1</v>
      </c>
      <c r="L23" s="244">
        <f t="shared" si="0"/>
        <v>6</v>
      </c>
      <c r="M23" s="242" t="str">
        <f>IF((K23=""),"",IF(OR(K23=1,K23=4,K23=5),"",IF(('Phases Finales'!$D$14=""),"",VLOOKUP(B23,'Phases Finales'!$T$7:$Z$14,4,0))))</f>
        <v/>
      </c>
      <c r="N23" s="158" t="str">
        <f>IF((K23=""),"",IF(OR(K23=2,K23=3,K23=4,K23=5),"",IF(('Phases Finales'!$I$14=""),"",VLOOKUP(B23,'Phases Finales'!$X$8:$AA$13,4,0))))</f>
        <v/>
      </c>
      <c r="O23" s="64" t="str">
        <f>IF(OR(N23="",N23=0),"",VLOOKUP(B23,'Phases Finales'!$AB$10:$AE$11,4,0))</f>
        <v/>
      </c>
      <c r="P23" s="153">
        <f>IF((E23=""),"",SUM(F23,L23,M23,N23,O23))</f>
        <v>8</v>
      </c>
    </row>
    <row r="24" spans="1:16" ht="24.95" customHeight="1" thickBot="1">
      <c r="A24" s="65"/>
      <c r="B24" s="45"/>
      <c r="C24" s="46"/>
      <c r="D24" s="46"/>
      <c r="E24" s="46"/>
      <c r="F24" s="66"/>
      <c r="G24" s="42"/>
      <c r="H24" s="46"/>
      <c r="I24" s="294"/>
      <c r="J24" s="46"/>
      <c r="K24" s="46"/>
      <c r="L24" s="33"/>
      <c r="M24" s="33"/>
      <c r="N24" s="33"/>
      <c r="O24" s="33"/>
      <c r="P24" s="154"/>
    </row>
    <row r="25" spans="1:16" ht="24.95" customHeight="1">
      <c r="A25" s="444">
        <v>4</v>
      </c>
      <c r="B25" s="159" t="str">
        <f>+'Parties groupes_V'!I24</f>
        <v>VEYRE Cyril</v>
      </c>
      <c r="C25" s="227">
        <f>INDEX('Parties groupes_V'!$K$24:$K$28,MATCH(B25,'Parties groupes_V'!$I$24:$I$28,0))</f>
        <v>0</v>
      </c>
      <c r="D25" s="228">
        <f>INDEX('Parties groupes_V'!$T$24:$T$28,MATCH(B25,'Parties groupes_V'!$R$24:$R$28,0))</f>
        <v>0</v>
      </c>
      <c r="E25" s="229">
        <f>INDEX('Parties groupes_V'!$AC$24:$AC$28,MATCH(B25,'Parties groupes_V'!$AA$24:$AA$28,0))</f>
        <v>2</v>
      </c>
      <c r="F25" s="219">
        <f>IF((C25=""),"",SUM(C25:E25))</f>
        <v>2</v>
      </c>
      <c r="G25" s="227" t="str">
        <f>IF(ISNA(MATCH(B25,'Parties groupes_V'!$AI$24:$AI$28,0)),"",INDEX('Parties groupes_V'!$AL$24:$AL$28,MATCH(B25,'Parties groupes_V'!$AI$24:$AI$28,0)))</f>
        <v/>
      </c>
      <c r="H25" s="228" t="str">
        <f>IF(ISNA(MATCH(B25,'Parties groupes_V'!$AI$24:$AI$28,0)),"",INDEX('Parties groupes_V'!$AM$24:$AM$28,MATCH(B25,'Parties groupes_V'!$AI$24:$AI$28,0)))</f>
        <v/>
      </c>
      <c r="I25" s="228" t="e">
        <f>IF((F25=0),"",(G25-H25))</f>
        <v>#VALUE!</v>
      </c>
      <c r="J25" s="229" t="str">
        <f>IF(ISNA(MATCH(B25,'Parties groupes_V'!$AI$24:$AI$28,0)),"",INDEX('Parties groupes_V'!$AO$24:$AO$28,MATCH(B25,'Parties groupes_V'!$AI$24:$AI$28,0)))</f>
        <v/>
      </c>
      <c r="K25" s="225" t="str">
        <f>IF(ISNA(MATCH(B25,'Parties groupes_V'!$AU$24:$AU$28,0)),"",INDEX('Parties groupes_V'!$AT$24:$AT$28,MATCH(B25,'Parties groupes_V'!$AU$24:$AU$28,0)))</f>
        <v/>
      </c>
      <c r="L25" s="245">
        <f>IF((D25=""),"",IF((K25=1),6,IF((K25=2),4,IF((K25=3),2,0))))</f>
        <v>0</v>
      </c>
      <c r="M25" s="240" t="str">
        <f>IF((K25=""),"",IF(OR(K25=1,K25=4,K25=5),"",IF(('Phases Finales'!$D$14=""),"",VLOOKUP(B25,'Phases Finales'!$T$7:$Z$14,4,0))))</f>
        <v/>
      </c>
      <c r="N25" s="157" t="str">
        <f>IF((K25=""),"",IF(OR(K25=2,K25=3,K25=4,K25=5),"",IF(('Phases Finales'!$I$14=""),"",VLOOKUP(B25,'Phases Finales'!$X$8:$AA$13,4,0))))</f>
        <v/>
      </c>
      <c r="O25" s="155" t="str">
        <f>IF(OR(N25="",N25=0),"",VLOOKUP(B25,'Phases Finales'!$AB$10:$AE$11,4,0))</f>
        <v/>
      </c>
      <c r="P25" s="152">
        <f>IF((E25=""),"",SUM(F25,L25,M25,N25,O25))</f>
        <v>2</v>
      </c>
    </row>
    <row r="26" spans="1:16" ht="24.95" customHeight="1">
      <c r="A26" s="445"/>
      <c r="B26" s="60" t="str">
        <f>+'Parties groupes_V'!I25</f>
        <v>DURANTON Stéphane</v>
      </c>
      <c r="C26" s="230">
        <f>INDEX('Parties groupes_V'!$K$24:$K$28,MATCH(B26,'Parties groupes_V'!$I$24:$I$28,0))</f>
        <v>0</v>
      </c>
      <c r="D26" s="161">
        <f>INDEX('Parties groupes_V'!$T$24:$T$28,MATCH(B26,'Parties groupes_V'!$R$24:$R$28,0))</f>
        <v>0</v>
      </c>
      <c r="E26" s="231">
        <f>INDEX('Parties groupes_V'!$AC$24:$AC$28,MATCH(B26,'Parties groupes_V'!$AA$24:$AA$28,0))</f>
        <v>0</v>
      </c>
      <c r="F26" s="220">
        <f>IF((C26=""),"",SUM(C26:E26))</f>
        <v>0</v>
      </c>
      <c r="G26" s="230" t="str">
        <f>IF(ISNA(MATCH(B26,'Parties groupes_V'!$AI$24:$AI$28,0)),"",INDEX('Parties groupes_V'!$AL$24:$AL$28,MATCH(B26,'Parties groupes_V'!$AI$24:$AI$28,0)))</f>
        <v/>
      </c>
      <c r="H26" s="161" t="str">
        <f>IF(ISNA(MATCH(B26,'Parties groupes_V'!$AI$24:$AI$28,0)),"",INDEX('Parties groupes_V'!$AM$24:$AM$28,MATCH(B26,'Parties groupes_V'!$AI$24:$AI$28,0)))</f>
        <v/>
      </c>
      <c r="I26" s="161" t="str">
        <f>IF((F26=0),"",(G26-H26))</f>
        <v/>
      </c>
      <c r="J26" s="231" t="str">
        <f>IF(ISNA(MATCH(B26,'Parties groupes_V'!$AI$24:$AI$28,0)),"",INDEX('Parties groupes_V'!$AO$24:$AO$28,MATCH(B26,'Parties groupes_V'!$AI$24:$AI$28,0)))</f>
        <v/>
      </c>
      <c r="K26" s="246" t="str">
        <f>IF(ISNA(MATCH(B26,'Parties groupes_V'!$AU$24:$AU$28,0)),"",INDEX('Parties groupes_V'!$AT$24:$AT$28,MATCH(B26,'Parties groupes_V'!$AU$24:$AU$28,0)))</f>
        <v/>
      </c>
      <c r="L26" s="237">
        <f t="shared" ref="L26:L29" si="1">IF((D26=""),"",IF((K26=1),6,IF((K26=2),4,IF((K26=3),2,0))))</f>
        <v>0</v>
      </c>
      <c r="M26" s="241" t="str">
        <f>IF((K26=""),"",IF(OR(K26=1,K26=4,K26=5),"",IF(('Phases Finales'!$D$14=""),"",VLOOKUP(B26,'Phases Finales'!$T$7:$Z$14,4,0))))</f>
        <v/>
      </c>
      <c r="N26" s="59" t="str">
        <f>IF((K26=""),"",IF(OR(K26=2,K26=3,K26=4,K26=5),"",IF(('Phases Finales'!$I$14=""),"",VLOOKUP(B26,'Phases Finales'!$X$8:$AA$13,4,0))))</f>
        <v/>
      </c>
      <c r="O26" s="62" t="str">
        <f>IF(OR(N26="",N26=0),"",VLOOKUP(B26,'Phases Finales'!$AB$10:$AE$11,4,0))</f>
        <v/>
      </c>
      <c r="P26" s="151">
        <f>IF((E26=""),"",SUM(F26,L26,M26,N26,O26))</f>
        <v>0</v>
      </c>
    </row>
    <row r="27" spans="1:16" ht="24.95" customHeight="1">
      <c r="A27" s="445"/>
      <c r="B27" s="60" t="str">
        <f>+'Parties groupes_V'!I26</f>
        <v>MOURZELAS Martial</v>
      </c>
      <c r="C27" s="230">
        <f>INDEX('Parties groupes_V'!$K$24:$K$28,MATCH(B27,'Parties groupes_V'!$I$24:$I$28,0))</f>
        <v>0</v>
      </c>
      <c r="D27" s="161">
        <f>INDEX('Parties groupes_V'!$T$24:$T$28,MATCH(B27,'Parties groupes_V'!$R$24:$R$28,0))</f>
        <v>2</v>
      </c>
      <c r="E27" s="231">
        <f>INDEX('Parties groupes_V'!$AC$24:$AC$28,MATCH(B27,'Parties groupes_V'!$AA$24:$AA$28,0))</f>
        <v>0</v>
      </c>
      <c r="F27" s="220">
        <f>IF((C27=""),"",SUM(C27:E27))</f>
        <v>2</v>
      </c>
      <c r="G27" s="230" t="str">
        <f>IF(ISNA(MATCH(B27,'Parties groupes_V'!$AI$24:$AI$28,0)),"",INDEX('Parties groupes_V'!$AL$24:$AL$28,MATCH(B27,'Parties groupes_V'!$AI$24:$AI$28,0)))</f>
        <v/>
      </c>
      <c r="H27" s="161" t="str">
        <f>IF(ISNA(MATCH(B27,'Parties groupes_V'!$AI$24:$AI$28,0)),"",INDEX('Parties groupes_V'!$AM$24:$AM$28,MATCH(B27,'Parties groupes_V'!$AI$24:$AI$28,0)))</f>
        <v/>
      </c>
      <c r="I27" s="161" t="e">
        <f>IF((F27=0),"",(G27-H27))</f>
        <v>#VALUE!</v>
      </c>
      <c r="J27" s="231" t="str">
        <f>IF(ISNA(MATCH(B27,'Parties groupes_V'!$AI$24:$AI$28,0)),"",INDEX('Parties groupes_V'!$AO$24:$AO$28,MATCH(B27,'Parties groupes_V'!$AI$24:$AI$28,0)))</f>
        <v/>
      </c>
      <c r="K27" s="46" t="str">
        <f>IF(ISNA(MATCH(B27,'Parties groupes_V'!$AU$24:$AU$28,0)),"",INDEX('Parties groupes_V'!$AT$24:$AT$28,MATCH(B27,'Parties groupes_V'!$AU$24:$AU$28,0)))</f>
        <v/>
      </c>
      <c r="L27" s="237">
        <f t="shared" si="1"/>
        <v>0</v>
      </c>
      <c r="M27" s="241" t="str">
        <f>IF((K27=""),"",IF(OR(K27=1,K27=4,K27=5),"",IF(('Phases Finales'!$D$14=""),"",VLOOKUP(B27,'Phases Finales'!$T$7:$Z$14,4,0))))</f>
        <v/>
      </c>
      <c r="N27" s="59" t="str">
        <f>IF((K27=""),"",IF(OR(K27=2,K27=3,K27=4,K27=5),"",IF(('Phases Finales'!$I$14=""),"",VLOOKUP(B27,'Phases Finales'!$X$8:$AA$13,4,0))))</f>
        <v/>
      </c>
      <c r="O27" s="62" t="str">
        <f>IF(OR(N27="",N27=0),"",VLOOKUP(B27,'Phases Finales'!$AB$10:$AE$11,4,0))</f>
        <v/>
      </c>
      <c r="P27" s="151">
        <f>IF((E27=""),"",SUM(F27,L27,M27,N27,O27))</f>
        <v>2</v>
      </c>
    </row>
    <row r="28" spans="1:16" ht="24.95" customHeight="1">
      <c r="A28" s="445"/>
      <c r="B28" s="60" t="str">
        <f>+'Parties groupes_V'!I27</f>
        <v>RIOUFREYT MAXIME</v>
      </c>
      <c r="C28" s="230">
        <f>INDEX('Parties groupes_V'!$K$24:$K$28,MATCH(B28,'Parties groupes_V'!$I$24:$I$28,0))</f>
        <v>0</v>
      </c>
      <c r="D28" s="161">
        <f>INDEX('Parties groupes_V'!$T$24:$T$28,MATCH(B28,'Parties groupes_V'!$R$24:$R$28,0))</f>
        <v>0</v>
      </c>
      <c r="E28" s="231">
        <f>INDEX('Parties groupes_V'!$AC$24:$AC$28,MATCH(B28,'Parties groupes_V'!$AA$24:$AA$28,0))</f>
        <v>0</v>
      </c>
      <c r="F28" s="220">
        <f>IF((C28=""),"",SUM(C28:E28))</f>
        <v>0</v>
      </c>
      <c r="G28" s="230" t="str">
        <f>IF(ISNA(MATCH(B28,'Parties groupes_V'!$AI$24:$AI$28,0)),"",INDEX('Parties groupes_V'!$AL$24:$AL$28,MATCH(B28,'Parties groupes_V'!$AI$24:$AI$28,0)))</f>
        <v/>
      </c>
      <c r="H28" s="161" t="str">
        <f>IF(ISNA(MATCH(B28,'Parties groupes_V'!$AI$24:$AI$28,0)),"",INDEX('Parties groupes_V'!$AM$24:$AM$28,MATCH(B28,'Parties groupes_V'!$AI$24:$AI$28,0)))</f>
        <v/>
      </c>
      <c r="I28" s="161" t="str">
        <f>IF((F28=0),"",(G28-H28))</f>
        <v/>
      </c>
      <c r="J28" s="231" t="str">
        <f>IF(ISNA(MATCH(B28,'Parties groupes_V'!$AI$24:$AI$28,0)),"",INDEX('Parties groupes_V'!$AO$24:$AO$28,MATCH(B28,'Parties groupes_V'!$AI$24:$AI$28,0)))</f>
        <v/>
      </c>
      <c r="K28" s="246" t="str">
        <f>IF(ISNA(MATCH(B28,'Parties groupes_V'!$AU$24:$AU$28,0)),"",INDEX('Parties groupes_V'!$AT$24:$AT$28,MATCH(B28,'Parties groupes_V'!$AU$24:$AU$28,0)))</f>
        <v/>
      </c>
      <c r="L28" s="237">
        <f t="shared" si="1"/>
        <v>0</v>
      </c>
      <c r="M28" s="241" t="str">
        <f>IF((K28=""),"",IF(OR(K28=1,K28=4,K28=5),"",IF(('Phases Finales'!$D$14=""),"",VLOOKUP(B28,'Phases Finales'!$T$7:$Z$14,4,0))))</f>
        <v/>
      </c>
      <c r="N28" s="59" t="str">
        <f>IF((K28=""),"",IF(OR(K28=2,K28=3,K28=4,K28=5),"",IF(('Phases Finales'!$I$14=""),"",VLOOKUP(B28,'Phases Finales'!$X$8:$AA$13,4,0))))</f>
        <v/>
      </c>
      <c r="O28" s="62" t="str">
        <f>IF(OR(N28="",N28=0),"",VLOOKUP(B28,'Phases Finales'!$AB$10:$AE$11,4,0))</f>
        <v/>
      </c>
      <c r="P28" s="151">
        <f>IF((E28=""),"",SUM(F28,L28,M28,N28,O28))</f>
        <v>0</v>
      </c>
    </row>
    <row r="29" spans="1:16" ht="24.95" customHeight="1" thickBot="1">
      <c r="A29" s="446"/>
      <c r="B29" s="160" t="str">
        <f>+'Parties groupes_V'!I28</f>
        <v>COMTE Denis</v>
      </c>
      <c r="C29" s="232">
        <f>INDEX('Parties groupes_V'!$K$24:$K$28,MATCH(B29,'Parties groupes_V'!$I$24:$I$28,0))</f>
        <v>2</v>
      </c>
      <c r="D29" s="233">
        <f>INDEX('Parties groupes_V'!$T$24:$T$28,MATCH(B29,'Parties groupes_V'!$R$24:$R$28,0))</f>
        <v>0</v>
      </c>
      <c r="E29" s="234">
        <f>INDEX('Parties groupes_V'!$AC$24:$AC$28,MATCH(B29,'Parties groupes_V'!$AA$24:$AA$28,0))</f>
        <v>0</v>
      </c>
      <c r="F29" s="221">
        <f>IF((C29=""),"",SUM(C29:E29))</f>
        <v>2</v>
      </c>
      <c r="G29" s="232">
        <f>IF(ISNA(MATCH(B29,'Parties groupes_V'!$AI$24:$AI$28,0)),"",INDEX('Parties groupes_V'!$AL$24:$AL$28,MATCH(B29,'Parties groupes_V'!$AI$24:$AI$28,0)))</f>
        <v>13</v>
      </c>
      <c r="H29" s="233">
        <f>IF(ISNA(MATCH(B29,'Parties groupes_V'!$AI$24:$AI$28,0)),"",INDEX('Parties groupes_V'!$AM$24:$AM$28,MATCH(B29,'Parties groupes_V'!$AI$24:$AI$28,0)))</f>
        <v>7</v>
      </c>
      <c r="I29" s="233">
        <f>IF((F29=0),"",(G29-H29))</f>
        <v>6</v>
      </c>
      <c r="J29" s="234">
        <f>IF(ISNA(MATCH(B29,'Parties groupes_V'!$AI$24:$AI$28,0)),"",INDEX('Parties groupes_V'!$AO$24:$AO$28,MATCH(B29,'Parties groupes_V'!$AI$24:$AI$28,0)))</f>
        <v>0</v>
      </c>
      <c r="K29" s="226">
        <f>IF(ISNA(MATCH(B29,'Parties groupes_V'!$AU$24:$AU$28,0)),"",INDEX('Parties groupes_V'!$AT$24:$AT$28,MATCH(B29,'Parties groupes_V'!$AU$24:$AU$28,0)))</f>
        <v>1</v>
      </c>
      <c r="L29" s="244">
        <f t="shared" si="1"/>
        <v>6</v>
      </c>
      <c r="M29" s="242" t="str">
        <f>IF((K29=""),"",IF(OR(K29=1,K29=4,K29=5),"",IF(('Phases Finales'!$D$14=""),"",VLOOKUP(B29,'Phases Finales'!$T$7:$Z$14,4,0))))</f>
        <v/>
      </c>
      <c r="N29" s="158" t="str">
        <f>IF((K29=""),"",IF(OR(K29=2,K29=3,K29=4,K29=5),"",IF(('Phases Finales'!$I$14=""),"",VLOOKUP(B29,'Phases Finales'!$X$8:$AA$13,4,0))))</f>
        <v/>
      </c>
      <c r="O29" s="64" t="str">
        <f>IF(OR(N29="",N29=0),"",VLOOKUP(B29,'Phases Finales'!$AB$10:$AE$11,4,0))</f>
        <v/>
      </c>
      <c r="P29" s="153">
        <f>IF((E29=""),"",SUM(F29,L29,M29,N29,O29))</f>
        <v>8</v>
      </c>
    </row>
    <row r="31" spans="1:16" s="146" customFormat="1">
      <c r="C31" s="146">
        <f>SUM(C7:C29)</f>
        <v>8</v>
      </c>
      <c r="D31" s="146">
        <f t="shared" ref="D31:E31" si="2">SUM(D7:D29)</f>
        <v>8</v>
      </c>
      <c r="E31" s="146">
        <f t="shared" si="2"/>
        <v>8</v>
      </c>
      <c r="G31" s="146">
        <f>SUM(G7:G29)</f>
        <v>52</v>
      </c>
      <c r="H31" s="146">
        <f>SUM(H7:H29)</f>
        <v>28</v>
      </c>
      <c r="I31" s="146" t="e">
        <f>SUM(I7:I29)</f>
        <v>#VALUE!</v>
      </c>
    </row>
  </sheetData>
  <sheetProtection sheet="1" objects="1" scenarios="1"/>
  <mergeCells count="12">
    <mergeCell ref="M3:N3"/>
    <mergeCell ref="C3:E3"/>
    <mergeCell ref="A7:A11"/>
    <mergeCell ref="A1:J1"/>
    <mergeCell ref="K1:M1"/>
    <mergeCell ref="A2:J2"/>
    <mergeCell ref="K2:M2"/>
    <mergeCell ref="A13:A17"/>
    <mergeCell ref="A19:A23"/>
    <mergeCell ref="A25:A29"/>
    <mergeCell ref="C4:L4"/>
    <mergeCell ref="M4:P4"/>
  </mergeCells>
  <conditionalFormatting sqref="B18 B24">
    <cfRule type="cellIs" dxfId="11" priority="17" stopIfTrue="1" operator="equal">
      <formula>"OFFICE"</formula>
    </cfRule>
  </conditionalFormatting>
  <conditionalFormatting sqref="F7:F11">
    <cfRule type="duplicateValues" dxfId="10" priority="10" stopIfTrue="1"/>
  </conditionalFormatting>
  <conditionalFormatting sqref="F13:F17">
    <cfRule type="duplicateValues" dxfId="9" priority="6" stopIfTrue="1"/>
    <cfRule type="duplicateValues" dxfId="8" priority="9" stopIfTrue="1"/>
  </conditionalFormatting>
  <conditionalFormatting sqref="F19:F23">
    <cfRule type="duplicateValues" dxfId="7" priority="8" stopIfTrue="1"/>
  </conditionalFormatting>
  <conditionalFormatting sqref="F25:F29">
    <cfRule type="duplicateValues" dxfId="6" priority="7" stopIfTrue="1"/>
  </conditionalFormatting>
  <conditionalFormatting sqref="K7:K11 K13:K17 K19:K23 K25:K29">
    <cfRule type="cellIs" dxfId="5" priority="12" stopIfTrue="1" operator="equal">
      <formula>"EGALITE PARFAITE ENTRE 3 EQUIPES"</formula>
    </cfRule>
    <cfRule type="cellIs" dxfId="4" priority="13" stopIfTrue="1" operator="equal">
      <formula>3</formula>
    </cfRule>
    <cfRule type="cellIs" dxfId="3" priority="14" stopIfTrue="1" operator="equal">
      <formula>2</formula>
    </cfRule>
    <cfRule type="cellIs" dxfId="2" priority="15" stopIfTrue="1" operator="equal">
      <formula>4</formula>
    </cfRule>
    <cfRule type="cellIs" dxfId="1" priority="16" stopIfTrue="1" operator="equal">
      <formula>1</formula>
    </cfRule>
  </conditionalFormatting>
  <conditionalFormatting sqref="P7:P29">
    <cfRule type="top10" dxfId="0" priority="2" rank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A33"/>
  <sheetViews>
    <sheetView workbookViewId="0">
      <selection activeCell="Q13" sqref="Q13"/>
    </sheetView>
  </sheetViews>
  <sheetFormatPr baseColWidth="10" defaultRowHeight="12.75"/>
  <cols>
    <col min="1" max="1" width="11.42578125" style="194"/>
  </cols>
  <sheetData>
    <row r="2" spans="1:1" ht="18.75">
      <c r="A2" s="184" t="s">
        <v>91</v>
      </c>
    </row>
    <row r="3" spans="1:1" ht="18.75">
      <c r="A3" s="185"/>
    </row>
    <row r="4" spans="1:1" ht="18.75">
      <c r="A4" s="185"/>
    </row>
    <row r="5" spans="1:1" ht="18.75">
      <c r="A5" s="185" t="s">
        <v>92</v>
      </c>
    </row>
    <row r="6" spans="1:1" ht="18.75">
      <c r="A6" s="185"/>
    </row>
    <row r="7" spans="1:1" ht="18.75">
      <c r="A7" s="185" t="s">
        <v>93</v>
      </c>
    </row>
    <row r="8" spans="1:1" ht="18.75">
      <c r="A8" s="185"/>
    </row>
    <row r="9" spans="1:1" ht="18.75">
      <c r="A9" s="185" t="s">
        <v>94</v>
      </c>
    </row>
    <row r="10" spans="1:1" ht="18.75">
      <c r="A10" s="185"/>
    </row>
    <row r="11" spans="1:1" ht="18.75">
      <c r="A11" s="186" t="s">
        <v>95</v>
      </c>
    </row>
    <row r="12" spans="1:1" ht="18.75">
      <c r="A12" s="185"/>
    </row>
    <row r="13" spans="1:1" ht="18.75">
      <c r="A13" s="187" t="s">
        <v>96</v>
      </c>
    </row>
    <row r="14" spans="1:1" ht="18.75">
      <c r="A14" s="188" t="s">
        <v>97</v>
      </c>
    </row>
    <row r="15" spans="1:1" ht="18.75">
      <c r="A15" s="188" t="s">
        <v>98</v>
      </c>
    </row>
    <row r="16" spans="1:1" ht="18.75">
      <c r="A16" s="189" t="s">
        <v>99</v>
      </c>
    </row>
    <row r="17" spans="1:1" ht="18.75">
      <c r="A17" s="188" t="s">
        <v>100</v>
      </c>
    </row>
    <row r="18" spans="1:1" ht="18.75">
      <c r="A18" s="188" t="s">
        <v>101</v>
      </c>
    </row>
    <row r="19" spans="1:1" ht="18.75">
      <c r="A19" s="188" t="s">
        <v>102</v>
      </c>
    </row>
    <row r="20" spans="1:1" ht="18.75">
      <c r="A20" s="190"/>
    </row>
    <row r="21" spans="1:1" ht="18.75">
      <c r="A21" s="191" t="s">
        <v>103</v>
      </c>
    </row>
    <row r="22" spans="1:1" ht="18.75">
      <c r="A22" s="191" t="s">
        <v>104</v>
      </c>
    </row>
    <row r="23" spans="1:1" ht="18.75">
      <c r="A23" s="191"/>
    </row>
    <row r="24" spans="1:1" ht="18.75">
      <c r="A24" s="191"/>
    </row>
    <row r="25" spans="1:1" ht="18.75">
      <c r="A25" s="192" t="s">
        <v>105</v>
      </c>
    </row>
    <row r="26" spans="1:1" ht="18.75">
      <c r="A26" s="193" t="s">
        <v>106</v>
      </c>
    </row>
    <row r="27" spans="1:1" ht="18.75">
      <c r="A27" s="193" t="s">
        <v>107</v>
      </c>
    </row>
    <row r="28" spans="1:1" ht="18.75">
      <c r="A28" s="192" t="s">
        <v>108</v>
      </c>
    </row>
    <row r="29" spans="1:1" ht="18.75">
      <c r="A29" s="192" t="s">
        <v>109</v>
      </c>
    </row>
    <row r="30" spans="1:1" ht="18.75">
      <c r="A30" s="193" t="s">
        <v>110</v>
      </c>
    </row>
    <row r="31" spans="1:1" ht="18.75">
      <c r="A31" s="193" t="s">
        <v>111</v>
      </c>
    </row>
    <row r="32" spans="1:1" ht="18.75">
      <c r="A32" s="193" t="s">
        <v>112</v>
      </c>
    </row>
    <row r="33" spans="1:1" ht="18.75">
      <c r="A33" s="185" t="s">
        <v>113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24"/>
  <sheetViews>
    <sheetView workbookViewId="0">
      <selection activeCell="C26" sqref="C26"/>
    </sheetView>
  </sheetViews>
  <sheetFormatPr baseColWidth="10" defaultRowHeight="12.75"/>
  <cols>
    <col min="1" max="1" width="8.28515625" customWidth="1"/>
    <col min="2" max="2" width="34" customWidth="1"/>
    <col min="3" max="3" width="27.5703125" customWidth="1"/>
    <col min="4" max="4" width="17.5703125" customWidth="1"/>
    <col min="6" max="6" width="0" style="146" hidden="1" customWidth="1"/>
    <col min="7" max="7" width="15.140625" hidden="1" customWidth="1"/>
    <col min="8" max="8" width="8" hidden="1" customWidth="1"/>
    <col min="9" max="9" width="9.28515625" hidden="1" customWidth="1"/>
  </cols>
  <sheetData>
    <row r="1" spans="1:9" ht="37.5">
      <c r="A1" s="216" t="s">
        <v>69</v>
      </c>
      <c r="B1" s="216" t="s">
        <v>70</v>
      </c>
      <c r="C1" s="216" t="s">
        <v>5</v>
      </c>
      <c r="D1" s="217" t="s">
        <v>71</v>
      </c>
      <c r="F1" s="167" t="s">
        <v>86</v>
      </c>
      <c r="G1" s="167" t="s">
        <v>87</v>
      </c>
      <c r="H1" s="167" t="s">
        <v>75</v>
      </c>
      <c r="I1" s="167" t="s">
        <v>22</v>
      </c>
    </row>
    <row r="2" spans="1:9" ht="18.75">
      <c r="A2" s="67">
        <v>1</v>
      </c>
      <c r="B2" s="364" t="str">
        <f>'Parties groupes_V'!B7:C7</f>
        <v>VEYRE Cyril</v>
      </c>
      <c r="C2" s="364" t="str">
        <f>'Parties groupes_V'!C7</f>
        <v>Saint Marcel les Annonay</v>
      </c>
      <c r="D2" s="165">
        <f>SUM(F2:I2)</f>
        <v>0</v>
      </c>
      <c r="F2" s="166">
        <f>SUM(IFERROR(VLOOKUP(B2,'Parties groupes_V'!$I$6:$O$29,7,0),0),IFERROR(VLOOKUP(B2,'Parties groupes_V'!$R$6:$X$29,7,0),0),IFERROR(VLOOKUP(B2,'Parties groupes_V'!$AA$6:$AG$29,7,0),0))</f>
        <v>0</v>
      </c>
      <c r="G2" s="166" t="str">
        <f>IF(ISNA(VLOOKUP(B2,'Phases Finales'!$T$7:$V$14,3,0)),"",VLOOKUP(B2,'Phases Finales'!$T$7:$V$14,3,0))</f>
        <v/>
      </c>
      <c r="H2" s="146" t="str">
        <f>IF(ISNA(VLOOKUP(B2,'Phases Finales'!$X$8:$Z$13,3,0)),"",VLOOKUP(B2,'Phases Finales'!$X$8:$Z$13,3,0))</f>
        <v/>
      </c>
      <c r="I2" s="146" t="str">
        <f>IF(ISNA(VLOOKUP(B2,'Phases Finales'!$AB$10:$AD$11,3,0)),"",VLOOKUP(B2,'Phases Finales'!$AB$10:$AD$11,3,0))</f>
        <v/>
      </c>
    </row>
    <row r="3" spans="1:9" ht="18.75">
      <c r="A3" s="67">
        <v>2</v>
      </c>
      <c r="B3" s="364" t="str">
        <f>'Parties groupes_V'!B8:C8</f>
        <v>DEMARS Mickael</v>
      </c>
      <c r="C3" s="364" t="str">
        <f>'Parties groupes_V'!C8</f>
        <v>Le Cheylard</v>
      </c>
      <c r="D3" s="165">
        <f t="shared" ref="D3:D21" si="0">SUM(F3:I3)</f>
        <v>0</v>
      </c>
      <c r="F3" s="166">
        <f>SUM(IFERROR(VLOOKUP(B3,'Parties groupes_V'!$I$6:$O$29,7,0),0),IFERROR(VLOOKUP(B3,'Parties groupes_V'!$R$6:$X$29,7,0),0),IFERROR(VLOOKUP(B3,'Parties groupes_V'!$AA$6:$AG$29,7,0),0))</f>
        <v>0</v>
      </c>
      <c r="G3" s="166" t="str">
        <f>IF(ISNA(VLOOKUP(B3,'Phases Finales'!$T$7:$V$14,3,0)),"",VLOOKUP(B3,'Phases Finales'!$T$7:$V$14,3,0))</f>
        <v/>
      </c>
      <c r="H3" s="146" t="str">
        <f>IF(ISNA(VLOOKUP(B3,'Phases Finales'!$X$8:$Z$13,3,0)),"",VLOOKUP(B3,'Phases Finales'!$X$8:$Z$13,3,0))</f>
        <v/>
      </c>
      <c r="I3" s="146" t="str">
        <f>IF(ISNA(VLOOKUP(B3,'Phases Finales'!$AB$10:$AD$11,3,0)),"",VLOOKUP(B3,'Phases Finales'!$AB$10:$AD$11,3,0))</f>
        <v/>
      </c>
    </row>
    <row r="4" spans="1:9" ht="18.75">
      <c r="A4" s="67">
        <v>3</v>
      </c>
      <c r="B4" s="364" t="str">
        <f>'Parties groupes_V'!B9:C9</f>
        <v>REYNAUD Corentin</v>
      </c>
      <c r="C4" s="364" t="str">
        <f>'Parties groupes_V'!C9</f>
        <v>Annonay</v>
      </c>
      <c r="D4" s="165">
        <f t="shared" si="0"/>
        <v>0</v>
      </c>
      <c r="F4" s="166">
        <f>SUM(IFERROR(VLOOKUP(B4,'Parties groupes_V'!$I$6:$O$29,7,0),0),IFERROR(VLOOKUP(B4,'Parties groupes_V'!$R$6:$X$29,7,0),0),IFERROR(VLOOKUP(B4,'Parties groupes_V'!$AA$6:$AG$29,7,0),0))</f>
        <v>0</v>
      </c>
      <c r="G4" s="166" t="str">
        <f>IF(ISNA(VLOOKUP(B4,'Phases Finales'!$T$7:$V$14,3,0)),"",VLOOKUP(B4,'Phases Finales'!$T$7:$V$14,3,0))</f>
        <v/>
      </c>
      <c r="H4" s="146" t="str">
        <f>IF(ISNA(VLOOKUP(B4,'Phases Finales'!$X$8:$Z$13,3,0)),"",VLOOKUP(B4,'Phases Finales'!$X$8:$Z$13,3,0))</f>
        <v/>
      </c>
      <c r="I4" s="146" t="str">
        <f>IF(ISNA(VLOOKUP(B4,'Phases Finales'!$AB$10:$AD$11,3,0)),"",VLOOKUP(B4,'Phases Finales'!$AB$10:$AD$11,3,0))</f>
        <v/>
      </c>
    </row>
    <row r="5" spans="1:9" ht="18.75">
      <c r="A5" s="67">
        <v>4</v>
      </c>
      <c r="B5" s="364" t="str">
        <f>'Parties groupes_V'!B10:C10</f>
        <v>DEMENUS Robin</v>
      </c>
      <c r="C5" s="364" t="str">
        <f>'Parties groupes_V'!C10</f>
        <v>Annonay</v>
      </c>
      <c r="D5" s="165">
        <f t="shared" si="0"/>
        <v>0</v>
      </c>
      <c r="F5" s="166">
        <f>SUM(IFERROR(VLOOKUP(B5,'Parties groupes_V'!$I$6:$O$29,7,0),0),IFERROR(VLOOKUP(B5,'Parties groupes_V'!$R$6:$X$29,7,0),0),IFERROR(VLOOKUP(B5,'Parties groupes_V'!$AA$6:$AG$29,7,0),0))</f>
        <v>0</v>
      </c>
      <c r="G5" s="166" t="str">
        <f>IF(ISNA(VLOOKUP(B5,'Phases Finales'!$T$7:$V$14,3,0)),"",VLOOKUP(B5,'Phases Finales'!$T$7:$V$14,3,0))</f>
        <v/>
      </c>
      <c r="H5" s="146" t="str">
        <f>IF(ISNA(VLOOKUP(B5,'Phases Finales'!$X$8:$Z$13,3,0)),"",VLOOKUP(B5,'Phases Finales'!$X$8:$Z$13,3,0))</f>
        <v/>
      </c>
      <c r="I5" s="146" t="str">
        <f>IF(ISNA(VLOOKUP(B5,'Phases Finales'!$AB$10:$AD$11,3,0)),"",VLOOKUP(B5,'Phases Finales'!$AB$10:$AD$11,3,0))</f>
        <v/>
      </c>
    </row>
    <row r="6" spans="1:9" ht="18.75">
      <c r="A6" s="67">
        <v>5</v>
      </c>
      <c r="B6" s="364" t="str">
        <f>'Parties groupes_V'!B11:C11</f>
        <v>GUILLEN BERNARD</v>
      </c>
      <c r="C6" s="364" t="str">
        <f>'Parties groupes_V'!C11</f>
        <v>SATILLIEU</v>
      </c>
      <c r="D6" s="165">
        <f t="shared" si="0"/>
        <v>0</v>
      </c>
      <c r="F6" s="166">
        <f>SUM(IFERROR(VLOOKUP(B6,'Parties groupes_V'!$I$6:$O$29,7,0),0),IFERROR(VLOOKUP(B6,'Parties groupes_V'!$R$6:$X$29,7,0),0),IFERROR(VLOOKUP(B6,'Parties groupes_V'!$AA$6:$AG$29,7,0),0))</f>
        <v>0</v>
      </c>
      <c r="G6" s="166" t="str">
        <f>IF(ISNA(VLOOKUP(B6,'Phases Finales'!$T$7:$V$14,3,0)),"",VLOOKUP(B6,'Phases Finales'!$T$7:$V$14,3,0))</f>
        <v/>
      </c>
      <c r="H6" s="146" t="str">
        <f>IF(ISNA(VLOOKUP(B6,'Phases Finales'!$X$8:$Z$13,3,0)),"",VLOOKUP(B6,'Phases Finales'!$X$8:$Z$13,3,0))</f>
        <v/>
      </c>
      <c r="I6" s="146" t="str">
        <f>IF(ISNA(VLOOKUP(B6,'Phases Finales'!$AB$10:$AD$11,3,0)),"",VLOOKUP(B6,'Phases Finales'!$AB$10:$AD$11,3,0))</f>
        <v/>
      </c>
    </row>
    <row r="7" spans="1:9" ht="18.75">
      <c r="A7" s="67">
        <v>6</v>
      </c>
      <c r="B7" s="364" t="str">
        <f>'Parties groupes_V'!B12:C12</f>
        <v>RIOUFREYT MAXIME</v>
      </c>
      <c r="C7" s="364" t="str">
        <f>'Parties groupes_V'!C12</f>
        <v>Lamastre</v>
      </c>
      <c r="D7" s="165">
        <f t="shared" si="0"/>
        <v>0</v>
      </c>
      <c r="F7" s="166">
        <f>SUM(IFERROR(VLOOKUP(B7,'Parties groupes_V'!$I$6:$O$29,7,0),0),IFERROR(VLOOKUP(B7,'Parties groupes_V'!$R$6:$X$29,7,0),0),IFERROR(VLOOKUP(B7,'Parties groupes_V'!$AA$6:$AG$29,7,0),0))</f>
        <v>0</v>
      </c>
      <c r="G7" s="166" t="str">
        <f>IF(ISNA(VLOOKUP(B7,'Phases Finales'!$T$7:$V$14,3,0)),"",VLOOKUP(B7,'Phases Finales'!$T$7:$V$14,3,0))</f>
        <v/>
      </c>
      <c r="H7" s="146" t="str">
        <f>IF(ISNA(VLOOKUP(B7,'Phases Finales'!$X$8:$Z$13,3,0)),"",VLOOKUP(B7,'Phases Finales'!$X$8:$Z$13,3,0))</f>
        <v/>
      </c>
      <c r="I7" s="146" t="str">
        <f>IF(ISNA(VLOOKUP(B7,'Phases Finales'!$AB$10:$AD$11,3,0)),"",VLOOKUP(B7,'Phases Finales'!$AB$10:$AD$11,3,0))</f>
        <v/>
      </c>
    </row>
    <row r="8" spans="1:9" ht="18.75">
      <c r="A8" s="67">
        <v>7</v>
      </c>
      <c r="B8" s="364" t="str">
        <f>'Parties groupes_V'!B13:C13</f>
        <v>POULAILLON Philippe</v>
      </c>
      <c r="C8" s="364" t="str">
        <f>'Parties groupes_V'!C13</f>
        <v>QUINTENAS</v>
      </c>
      <c r="D8" s="165">
        <f t="shared" si="0"/>
        <v>0</v>
      </c>
      <c r="F8" s="166">
        <f>SUM(IFERROR(VLOOKUP(B8,'Parties groupes_V'!$I$6:$O$29,7,0),0),IFERROR(VLOOKUP(B8,'Parties groupes_V'!$R$6:$X$29,7,0),0),IFERROR(VLOOKUP(B8,'Parties groupes_V'!$AA$6:$AG$29,7,0),0))</f>
        <v>0</v>
      </c>
      <c r="G8" s="166" t="str">
        <f>IF(ISNA(VLOOKUP(B8,'Phases Finales'!$T$7:$V$14,3,0)),"",VLOOKUP(B8,'Phases Finales'!$T$7:$V$14,3,0))</f>
        <v/>
      </c>
      <c r="H8" s="146" t="str">
        <f>IF(ISNA(VLOOKUP(B8,'Phases Finales'!$X$8:$Z$13,3,0)),"",VLOOKUP(B8,'Phases Finales'!$X$8:$Z$13,3,0))</f>
        <v/>
      </c>
      <c r="I8" s="146" t="str">
        <f>IF(ISNA(VLOOKUP(B8,'Phases Finales'!$AB$10:$AD$11,3,0)),"",VLOOKUP(B8,'Phases Finales'!$AB$10:$AD$11,3,0))</f>
        <v/>
      </c>
    </row>
    <row r="9" spans="1:9" ht="18.75">
      <c r="A9" s="67">
        <v>8</v>
      </c>
      <c r="B9" s="364" t="str">
        <f>'Parties groupes_V'!B14:C14</f>
        <v>PATOT THIERRY</v>
      </c>
      <c r="C9" s="364" t="str">
        <f>'Parties groupes_V'!C14</f>
        <v>Saint Marcel les Annonay</v>
      </c>
      <c r="D9" s="165">
        <f t="shared" si="0"/>
        <v>0</v>
      </c>
      <c r="F9" s="166">
        <f>SUM(IFERROR(VLOOKUP(B9,'Parties groupes_V'!$I$6:$O$29,7,0),0),IFERROR(VLOOKUP(B9,'Parties groupes_V'!$R$6:$X$29,7,0),0),IFERROR(VLOOKUP(B9,'Parties groupes_V'!$AA$6:$AG$29,7,0),0))</f>
        <v>0</v>
      </c>
      <c r="G9" s="166" t="str">
        <f>IF(ISNA(VLOOKUP(B9,'Phases Finales'!$T$7:$V$14,3,0)),"",VLOOKUP(B9,'Phases Finales'!$T$7:$V$14,3,0))</f>
        <v/>
      </c>
      <c r="H9" s="146" t="str">
        <f>IF(ISNA(VLOOKUP(B9,'Phases Finales'!$X$8:$Z$13,3,0)),"",VLOOKUP(B9,'Phases Finales'!$X$8:$Z$13,3,0))</f>
        <v/>
      </c>
      <c r="I9" s="146" t="str">
        <f>IF(ISNA(VLOOKUP(B9,'Phases Finales'!$AB$10:$AD$11,3,0)),"",VLOOKUP(B9,'Phases Finales'!$AB$10:$AD$11,3,0))</f>
        <v/>
      </c>
    </row>
    <row r="10" spans="1:9" ht="18.75">
      <c r="A10" s="67">
        <v>9</v>
      </c>
      <c r="B10" s="364" t="str">
        <f>'Parties groupes_V'!B15:C15</f>
        <v>DURANTON Stéphane</v>
      </c>
      <c r="C10" s="364" t="str">
        <f>'Parties groupes_V'!C15</f>
        <v>Villevocance</v>
      </c>
      <c r="D10" s="165">
        <f t="shared" si="0"/>
        <v>0</v>
      </c>
      <c r="F10" s="166">
        <f>SUM(IFERROR(VLOOKUP(B10,'Parties groupes_V'!$I$6:$O$29,7,0),0),IFERROR(VLOOKUP(B10,'Parties groupes_V'!$R$6:$X$29,7,0),0),IFERROR(VLOOKUP(B10,'Parties groupes_V'!$AA$6:$AG$29,7,0),0))</f>
        <v>0</v>
      </c>
      <c r="G10" s="166" t="str">
        <f>IF(ISNA(VLOOKUP(B10,'Phases Finales'!$T$7:$V$14,3,0)),"",VLOOKUP(B10,'Phases Finales'!$T$7:$V$14,3,0))</f>
        <v/>
      </c>
      <c r="H10" s="146" t="str">
        <f>IF(ISNA(VLOOKUP(B10,'Phases Finales'!$X$8:$Z$13,3,0)),"",VLOOKUP(B10,'Phases Finales'!$X$8:$Z$13,3,0))</f>
        <v/>
      </c>
      <c r="I10" s="146" t="str">
        <f>IF(ISNA(VLOOKUP(B10,'Phases Finales'!$AB$10:$AD$11,3,0)),"",VLOOKUP(B10,'Phases Finales'!$AB$10:$AD$11,3,0))</f>
        <v/>
      </c>
    </row>
    <row r="11" spans="1:9" ht="18.75">
      <c r="A11" s="67">
        <v>10</v>
      </c>
      <c r="B11" s="364" t="str">
        <f>'Parties groupes_V'!B16:C16</f>
        <v>SERVY Jérome</v>
      </c>
      <c r="C11" s="364" t="str">
        <f>'Parties groupes_V'!C16</f>
        <v>Vernosc</v>
      </c>
      <c r="D11" s="165">
        <f t="shared" si="0"/>
        <v>0</v>
      </c>
      <c r="F11" s="166">
        <f>SUM(IFERROR(VLOOKUP(B11,'Parties groupes_V'!$I$6:$O$29,7,0),0),IFERROR(VLOOKUP(B11,'Parties groupes_V'!$R$6:$X$29,7,0),0),IFERROR(VLOOKUP(B11,'Parties groupes_V'!$AA$6:$AG$29,7,0),0))</f>
        <v>0</v>
      </c>
      <c r="G11" s="166" t="str">
        <f>IF(ISNA(VLOOKUP(B11,'Phases Finales'!$T$7:$V$14,3,0)),"",VLOOKUP(B11,'Phases Finales'!$T$7:$V$14,3,0))</f>
        <v/>
      </c>
      <c r="H11" s="146" t="str">
        <f>IF(ISNA(VLOOKUP(B11,'Phases Finales'!$X$8:$Z$13,3,0)),"",VLOOKUP(B11,'Phases Finales'!$X$8:$Z$13,3,0))</f>
        <v/>
      </c>
      <c r="I11" s="146" t="str">
        <f>IF(ISNA(VLOOKUP(B11,'Phases Finales'!$AB$10:$AD$11,3,0)),"",VLOOKUP(B11,'Phases Finales'!$AB$10:$AD$11,3,0))</f>
        <v/>
      </c>
    </row>
    <row r="12" spans="1:9" ht="18.75">
      <c r="A12" s="67">
        <v>11</v>
      </c>
      <c r="B12" s="364" t="str">
        <f>'Parties groupes_V'!B17:C17</f>
        <v>COMTE Denis</v>
      </c>
      <c r="C12" s="364" t="str">
        <f>'Parties groupes_V'!C17</f>
        <v>Colombier le Vieux</v>
      </c>
      <c r="D12" s="165">
        <f t="shared" si="0"/>
        <v>0</v>
      </c>
      <c r="F12" s="166">
        <f>SUM(IFERROR(VLOOKUP(B12,'Parties groupes_V'!$I$6:$O$29,7,0),0),IFERROR(VLOOKUP(B12,'Parties groupes_V'!$R$6:$X$29,7,0),0),IFERROR(VLOOKUP(B12,'Parties groupes_V'!$AA$6:$AG$29,7,0),0))</f>
        <v>0</v>
      </c>
      <c r="G12" s="166" t="str">
        <f>IF(ISNA(VLOOKUP(B12,'Phases Finales'!$T$7:$V$14,3,0)),"",VLOOKUP(B12,'Phases Finales'!$T$7:$V$14,3,0))</f>
        <v/>
      </c>
      <c r="H12" s="146">
        <f>IF(ISNA(VLOOKUP(B12,'Phases Finales'!$X$8:$Z$13,3,0)),"",VLOOKUP(B12,'Phases Finales'!$X$8:$Z$13,3,0))</f>
        <v>0</v>
      </c>
      <c r="I12" s="146" t="str">
        <f>IF(ISNA(VLOOKUP(B12,'Phases Finales'!$AB$10:$AD$11,3,0)),"",VLOOKUP(B12,'Phases Finales'!$AB$10:$AD$11,3,0))</f>
        <v/>
      </c>
    </row>
    <row r="13" spans="1:9" ht="18.75">
      <c r="A13" s="67">
        <v>12</v>
      </c>
      <c r="B13" s="364" t="str">
        <f>'Parties groupes_V'!B18:C18</f>
        <v>GRAND Emmanuel</v>
      </c>
      <c r="C13" s="364" t="str">
        <f>'Parties groupes_V'!C18</f>
        <v>Annonay</v>
      </c>
      <c r="D13" s="165">
        <f t="shared" si="0"/>
        <v>0</v>
      </c>
      <c r="F13" s="166">
        <f>SUM(IFERROR(VLOOKUP(B13,'Parties groupes_V'!$I$6:$O$29,7,0),0),IFERROR(VLOOKUP(B13,'Parties groupes_V'!$R$6:$X$29,7,0),0),IFERROR(VLOOKUP(B13,'Parties groupes_V'!$AA$6:$AG$29,7,0),0))</f>
        <v>0</v>
      </c>
      <c r="G13" s="166" t="str">
        <f>IF(ISNA(VLOOKUP(B13,'Phases Finales'!$T$7:$V$14,3,0)),"",VLOOKUP(B13,'Phases Finales'!$T$7:$V$14,3,0))</f>
        <v/>
      </c>
      <c r="H13" s="146">
        <f>IF(ISNA(VLOOKUP(B13,'Phases Finales'!$X$8:$Z$13,3,0)),"",VLOOKUP(B13,'Phases Finales'!$X$8:$Z$13,3,0))</f>
        <v>0</v>
      </c>
      <c r="I13" s="146" t="str">
        <f>IF(ISNA(VLOOKUP(B13,'Phases Finales'!$AB$10:$AD$11,3,0)),"",VLOOKUP(B13,'Phases Finales'!$AB$10:$AD$11,3,0))</f>
        <v/>
      </c>
    </row>
    <row r="14" spans="1:9" ht="18.75">
      <c r="A14" s="67">
        <v>13</v>
      </c>
      <c r="B14" s="364" t="str">
        <f>'Parties groupes_V'!B19:C19</f>
        <v xml:space="preserve">MAIRE Gaël </v>
      </c>
      <c r="C14" s="364" t="str">
        <f>'Parties groupes_V'!C19</f>
        <v xml:space="preserve">Saint Victor </v>
      </c>
      <c r="D14" s="165">
        <f t="shared" si="0"/>
        <v>0</v>
      </c>
      <c r="F14" s="166">
        <f>SUM(IFERROR(VLOOKUP(B14,'Parties groupes_V'!$I$6:$O$29,7,0),0),IFERROR(VLOOKUP(B14,'Parties groupes_V'!$R$6:$X$29,7,0),0),IFERROR(VLOOKUP(B14,'Parties groupes_V'!$AA$6:$AG$29,7,0),0))</f>
        <v>0</v>
      </c>
      <c r="G14" s="166" t="str">
        <f>IF(ISNA(VLOOKUP(B14,'Phases Finales'!$T$7:$V$14,3,0)),"",VLOOKUP(B14,'Phases Finales'!$T$7:$V$14,3,0))</f>
        <v/>
      </c>
      <c r="H14" s="146">
        <f>IF(ISNA(VLOOKUP(B14,'Phases Finales'!$X$8:$Z$13,3,0)),"",VLOOKUP(B14,'Phases Finales'!$X$8:$Z$13,3,0))</f>
        <v>0</v>
      </c>
      <c r="I14" s="146" t="str">
        <f>IF(ISNA(VLOOKUP(B14,'Phases Finales'!$AB$10:$AD$11,3,0)),"",VLOOKUP(B14,'Phases Finales'!$AB$10:$AD$11,3,0))</f>
        <v/>
      </c>
    </row>
    <row r="15" spans="1:9" ht="18.75">
      <c r="A15" s="67">
        <v>14</v>
      </c>
      <c r="B15" s="364" t="str">
        <f>'Parties groupes_V'!B20:C20</f>
        <v>GAILLARD Jean Louis</v>
      </c>
      <c r="C15" s="364" t="str">
        <f>'Parties groupes_V'!C20</f>
        <v>Tournon</v>
      </c>
      <c r="D15" s="165">
        <f t="shared" si="0"/>
        <v>0</v>
      </c>
      <c r="F15" s="166">
        <f>SUM(IFERROR(VLOOKUP(B15,'Parties groupes_V'!$I$6:$O$29,7,0),0),IFERROR(VLOOKUP(B15,'Parties groupes_V'!$R$6:$X$29,7,0),0),IFERROR(VLOOKUP(B15,'Parties groupes_V'!$AA$6:$AG$29,7,0),0))</f>
        <v>0</v>
      </c>
      <c r="G15" s="166" t="str">
        <f>IF(ISNA(VLOOKUP(B15,'Phases Finales'!$T$7:$V$14,3,0)),"",VLOOKUP(B15,'Phases Finales'!$T$7:$V$14,3,0))</f>
        <v/>
      </c>
      <c r="H15" s="146" t="str">
        <f>IF(ISNA(VLOOKUP(B15,'Phases Finales'!$X$8:$Z$13,3,0)),"",VLOOKUP(B15,'Phases Finales'!$X$8:$Z$13,3,0))</f>
        <v/>
      </c>
      <c r="I15" s="146" t="str">
        <f>IF(ISNA(VLOOKUP(B15,'Phases Finales'!$AB$10:$AD$11,3,0)),"",VLOOKUP(B15,'Phases Finales'!$AB$10:$AD$11,3,0))</f>
        <v/>
      </c>
    </row>
    <row r="16" spans="1:9" ht="18.75">
      <c r="A16" s="67">
        <v>15</v>
      </c>
      <c r="B16" s="364" t="str">
        <f>'Parties groupes_V'!B21:C21</f>
        <v>FONTANEL Julien</v>
      </c>
      <c r="C16" s="364" t="str">
        <f>'Parties groupes_V'!C21</f>
        <v>Mariac</v>
      </c>
      <c r="D16" s="165">
        <f t="shared" si="0"/>
        <v>0</v>
      </c>
      <c r="F16" s="166">
        <f>SUM(IFERROR(VLOOKUP(B16,'Parties groupes_V'!$I$6:$O$29,7,0),0),IFERROR(VLOOKUP(B16,'Parties groupes_V'!$R$6:$X$29,7,0),0),IFERROR(VLOOKUP(B16,'Parties groupes_V'!$AA$6:$AG$29,7,0),0))</f>
        <v>0</v>
      </c>
      <c r="G16" s="166" t="str">
        <f>IF(ISNA(VLOOKUP(B16,'Phases Finales'!$T$7:$V$14,3,0)),"",VLOOKUP(B16,'Phases Finales'!$T$7:$V$14,3,0))</f>
        <v/>
      </c>
      <c r="H16" s="146">
        <f>IF(ISNA(VLOOKUP(B16,'Phases Finales'!$X$8:$Z$13,3,0)),"",VLOOKUP(B16,'Phases Finales'!$X$8:$Z$13,3,0))</f>
        <v>0</v>
      </c>
      <c r="I16" s="146" t="str">
        <f>IF(ISNA(VLOOKUP(B16,'Phases Finales'!$AB$10:$AD$11,3,0)),"",VLOOKUP(B16,'Phases Finales'!$AB$10:$AD$11,3,0))</f>
        <v/>
      </c>
    </row>
    <row r="17" spans="1:9" ht="18.75">
      <c r="A17" s="67">
        <v>16</v>
      </c>
      <c r="B17" s="364" t="str">
        <f>'Parties groupes_V'!B22:C22</f>
        <v>MOURZELAS Martial</v>
      </c>
      <c r="C17" s="364" t="str">
        <f>'Parties groupes_V'!C22</f>
        <v>Talencieux</v>
      </c>
      <c r="D17" s="165">
        <f t="shared" si="0"/>
        <v>0</v>
      </c>
      <c r="F17" s="166">
        <f>SUM(IFERROR(VLOOKUP(B17,'Parties groupes_V'!$I$6:$O$29,7,0),0),IFERROR(VLOOKUP(B17,'Parties groupes_V'!$R$6:$X$29,7,0),0),IFERROR(VLOOKUP(B17,'Parties groupes_V'!$AA$6:$AG$29,7,0),0))</f>
        <v>0</v>
      </c>
      <c r="G17" s="166" t="str">
        <f>IF(ISNA(VLOOKUP(B17,'Phases Finales'!$T$7:$V$14,3,0)),"",VLOOKUP(B17,'Phases Finales'!$T$7:$V$14,3,0))</f>
        <v/>
      </c>
      <c r="H17" s="146" t="str">
        <f>IF(ISNA(VLOOKUP(B17,'Phases Finales'!$X$8:$Z$13,3,0)),"",VLOOKUP(B17,'Phases Finales'!$X$8:$Z$13,3,0))</f>
        <v/>
      </c>
      <c r="I17" s="146" t="str">
        <f>IF(ISNA(VLOOKUP(B17,'Phases Finales'!$AB$10:$AD$11,3,0)),"",VLOOKUP(B17,'Phases Finales'!$AB$10:$AD$11,3,0))</f>
        <v/>
      </c>
    </row>
    <row r="18" spans="1:9" ht="18.75">
      <c r="A18" s="67">
        <v>17</v>
      </c>
      <c r="B18" s="364" t="str">
        <f>'Parties groupes_V'!B23:C23</f>
        <v>MARION Fabrice</v>
      </c>
      <c r="C18" s="364" t="str">
        <f>'Parties groupes_V'!C23</f>
        <v>SERRIERES</v>
      </c>
      <c r="D18" s="165">
        <f t="shared" si="0"/>
        <v>0</v>
      </c>
      <c r="F18" s="166">
        <f>SUM(IFERROR(VLOOKUP(B18,'Parties groupes_V'!$I$6:$O$29,7,0),0),IFERROR(VLOOKUP(B18,'Parties groupes_V'!$R$6:$X$29,7,0),0),IFERROR(VLOOKUP(B18,'Parties groupes_V'!$AA$6:$AG$29,7,0),0))</f>
        <v>0</v>
      </c>
      <c r="G18" s="166" t="str">
        <f>IF(ISNA(VLOOKUP(B18,'Phases Finales'!$T$7:$V$14,3,0)),"",VLOOKUP(B18,'Phases Finales'!$T$7:$V$14,3,0))</f>
        <v/>
      </c>
      <c r="H18" s="146" t="str">
        <f>IF(ISNA(VLOOKUP(B18,'Phases Finales'!$X$8:$Z$13,3,0)),"",VLOOKUP(B18,'Phases Finales'!$X$8:$Z$13,3,0))</f>
        <v/>
      </c>
      <c r="I18" s="146" t="str">
        <f>IF(ISNA(VLOOKUP(B18,'Phases Finales'!$AB$10:$AD$11,3,0)),"",VLOOKUP(B18,'Phases Finales'!$AB$10:$AD$11,3,0))</f>
        <v/>
      </c>
    </row>
    <row r="19" spans="1:9" ht="18.75">
      <c r="A19" s="67">
        <v>18</v>
      </c>
      <c r="B19" s="364" t="str">
        <f>'Parties groupes_V'!B24:C24</f>
        <v xml:space="preserve">RISSOAN Grégory </v>
      </c>
      <c r="C19" s="364" t="str">
        <f>'Parties groupes_V'!C24</f>
        <v>Lamastre</v>
      </c>
      <c r="D19" s="165">
        <f t="shared" si="0"/>
        <v>0</v>
      </c>
      <c r="F19" s="166">
        <f>SUM(IFERROR(VLOOKUP(B19,'Parties groupes_V'!$I$6:$O$29,7,0),0),IFERROR(VLOOKUP(B19,'Parties groupes_V'!$R$6:$X$29,7,0),0),IFERROR(VLOOKUP(B19,'Parties groupes_V'!$AA$6:$AG$29,7,0),0))</f>
        <v>0</v>
      </c>
      <c r="G19" s="166" t="str">
        <f>IF(ISNA(VLOOKUP(B19,'Phases Finales'!$T$7:$V$14,3,0)),"",VLOOKUP(B19,'Phases Finales'!$T$7:$V$14,3,0))</f>
        <v/>
      </c>
      <c r="H19" s="146" t="str">
        <f>IF(ISNA(VLOOKUP(B19,'Phases Finales'!$X$8:$Z$13,3,0)),"",VLOOKUP(B19,'Phases Finales'!$X$8:$Z$13,3,0))</f>
        <v/>
      </c>
      <c r="I19" s="146" t="str">
        <f>IF(ISNA(VLOOKUP(B19,'Phases Finales'!$AB$10:$AD$11,3,0)),"",VLOOKUP(B19,'Phases Finales'!$AB$10:$AD$11,3,0))</f>
        <v/>
      </c>
    </row>
    <row r="20" spans="1:9" ht="18.75">
      <c r="A20" s="67">
        <v>19</v>
      </c>
      <c r="B20" s="364" t="str">
        <f>'Parties groupes_V'!B25:C25</f>
        <v>VERSINO Fabien</v>
      </c>
      <c r="C20" s="364" t="str">
        <f>'Parties groupes_V'!C25</f>
        <v>Saint alban d'Ay</v>
      </c>
      <c r="D20" s="165">
        <f t="shared" si="0"/>
        <v>0</v>
      </c>
      <c r="F20" s="166">
        <f>SUM(IFERROR(VLOOKUP(B20,'Parties groupes_V'!$I$6:$O$29,7,0),0),IFERROR(VLOOKUP(B20,'Parties groupes_V'!$R$6:$X$29,7,0),0),IFERROR(VLOOKUP(B20,'Parties groupes_V'!$AA$6:$AG$29,7,0),0))</f>
        <v>0</v>
      </c>
      <c r="G20" s="166" t="str">
        <f>IF(ISNA(VLOOKUP(B20,'Phases Finales'!$T$7:$V$14,3,0)),"",VLOOKUP(B20,'Phases Finales'!$T$7:$V$14,3,0))</f>
        <v/>
      </c>
      <c r="H20" s="146" t="str">
        <f>IF(ISNA(VLOOKUP(B20,'Phases Finales'!$X$8:$Z$13,3,0)),"",VLOOKUP(B20,'Phases Finales'!$X$8:$Z$13,3,0))</f>
        <v/>
      </c>
      <c r="I20" s="146" t="str">
        <f>IF(ISNA(VLOOKUP(B20,'Phases Finales'!$AB$10:$AD$11,3,0)),"",VLOOKUP(B20,'Phases Finales'!$AB$10:$AD$11,3,0))</f>
        <v/>
      </c>
    </row>
    <row r="21" spans="1:9" ht="18.75">
      <c r="A21" s="67">
        <v>20</v>
      </c>
      <c r="B21" s="364" t="str">
        <f>'Parties groupes_V'!B26:C26</f>
        <v>BLACHIER Yvan</v>
      </c>
      <c r="C21" s="364" t="str">
        <f>'Parties groupes_V'!C26</f>
        <v>Saint Agrévoise</v>
      </c>
      <c r="D21" s="165">
        <f t="shared" si="0"/>
        <v>0</v>
      </c>
      <c r="F21" s="166">
        <f>SUM(IFERROR(VLOOKUP(B21,'Parties groupes_V'!$I$6:$O$29,7,0),0),IFERROR(VLOOKUP(B21,'Parties groupes_V'!$R$6:$X$29,7,0),0),IFERROR(VLOOKUP(B21,'Parties groupes_V'!$AA$6:$AG$29,7,0),0))</f>
        <v>0</v>
      </c>
      <c r="G21" s="166" t="str">
        <f>IF(ISNA(VLOOKUP(B21,'Phases Finales'!$T$7:$V$14,3,0)),"",VLOOKUP(B21,'Phases Finales'!$T$7:$V$14,3,0))</f>
        <v/>
      </c>
      <c r="H21" s="146" t="str">
        <f>IF(ISNA(VLOOKUP(B21,'Phases Finales'!$X$8:$Z$13,3,0)),"",VLOOKUP(B21,'Phases Finales'!$X$8:$Z$13,3,0))</f>
        <v/>
      </c>
      <c r="I21" s="146" t="str">
        <f>IF(ISNA(VLOOKUP(B21,'Phases Finales'!$AB$10:$AD$11,3,0)),"",VLOOKUP(B21,'Phases Finales'!$AB$10:$AD$11,3,0))</f>
        <v/>
      </c>
    </row>
    <row r="22" spans="1:9" ht="18">
      <c r="A22" s="68"/>
      <c r="B22" s="136"/>
      <c r="C22" s="136"/>
      <c r="D22" s="69">
        <f>SUM(D2:D21)</f>
        <v>0</v>
      </c>
      <c r="F22" s="146">
        <f>SUM(F2:F21)</f>
        <v>0</v>
      </c>
      <c r="G22" s="146">
        <f>SUM(G2:G21)</f>
        <v>0</v>
      </c>
      <c r="H22" s="146">
        <f>SUM(H2:H21)</f>
        <v>0</v>
      </c>
      <c r="I22" s="146">
        <f>SUM(I2:I21)</f>
        <v>0</v>
      </c>
    </row>
    <row r="23" spans="1:9">
      <c r="A23" t="s">
        <v>167</v>
      </c>
    </row>
    <row r="24" spans="1:9" ht="18">
      <c r="D24" s="69">
        <v>31</v>
      </c>
    </row>
  </sheetData>
  <sheetProtection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1ère J St Victor 14 09 2024 M3</vt:lpstr>
      <vt:lpstr>Déroulé</vt:lpstr>
      <vt:lpstr>Parties groupes_V</vt:lpstr>
      <vt:lpstr>Phases Finales</vt:lpstr>
      <vt:lpstr>Classement</vt:lpstr>
      <vt:lpstr>Epreuve  d'appui</vt:lpstr>
      <vt:lpstr>Points Catégorie</vt:lpstr>
      <vt:lpstr>'Epreuve  d''appui'!_GoBack</vt:lpstr>
      <vt:lpstr>v2T2RANS</vt:lpstr>
      <vt:lpstr>'Parties groupes_V'!Zone_d_impression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Gabriel HILAIRE</cp:lastModifiedBy>
  <cp:lastPrinted>2024-08-31T17:38:21Z</cp:lastPrinted>
  <dcterms:created xsi:type="dcterms:W3CDTF">2004-09-07T08:56:58Z</dcterms:created>
  <dcterms:modified xsi:type="dcterms:W3CDTF">2024-09-04T13:55:57Z</dcterms:modified>
</cp:coreProperties>
</file>